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theme/theme1.xml" ContentType="application/vnd.openxmlformats-officedocument.theme+xml"/>
  <Override PartName="/docProps/app.xml" ContentType="application/vnd.openxmlformats-officedocument.extended-properties+xml"/>
  <Override PartName="/docProps/core.xml" ContentType="application/vnd.openxmlformats-package.core-properties+xml"/>
  <Default Extension="png" ContentType="image/png"/>
  <Default Extension="jpeg" ContentType="image/jpeg"/>
  <Override PartName="/xl/worksheets/sheet1.xml" ContentType="application/vnd.openxmlformats-officedocument.spreadsheetml.worksheet+xml"/>
  <Override PartName="/xl/comments2.xml" ContentType="application/vnd.openxmlformats-officedocument.spreadsheetml.comments+xml"/>
  <Override PartName="/xl/drawings/drawing1.xml" ContentType="application/vnd.openxmlformats-officedocument.drawing+xml"/>
  <Default Extension="vml" ContentType="application/vnd.openxmlformats-officedocument.vmlDrawing"/>
  <Override PartName="/xl/worksheets/sheet2.xml" ContentType="application/vnd.openxmlformats-officedocument.spreadsheetml.worksheet+xml"/>
  <Override PartName="/xl/drawings/drawing2.xml" ContentType="application/vnd.openxmlformats-officedocument.drawing+xml"/>
  <Override PartName="/xl/worksheets/sheet3.xml" ContentType="application/vnd.openxmlformats-officedocument.spreadsheetml.worksheet+xml"/>
  <Override PartName="/xl/drawings/drawing3.xml" ContentType="application/vnd.openxmlformats-officedocument.drawing+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drawings/drawing4.xml" ContentType="application/vnd.openxmlformats-officedocument.drawing+xml"/>
  <Override PartName="/xl/worksheets/sheet35.xml" ContentType="application/vnd.openxmlformats-officedocument.spreadsheetml.worksheet+xml"/>
  <Override PartName="/xl/drawings/drawing5.xml" ContentType="application/vnd.openxmlformats-officedocument.drawing+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drawings/drawing6.xml" ContentType="application/vnd.openxmlformats-officedocument.drawing+xml"/>
  <Override PartName="/xl/worksheets/sheet47.xml" ContentType="application/vnd.openxmlformats-officedocument.spreadsheetml.worksheet+xml"/>
  <Override PartName="/xl/drawings/drawing7.xml" ContentType="application/vnd.openxmlformats-officedocument.drawing+xml"/>
  <Override PartName="/xl/worksheets/sheet48.xml" ContentType="application/vnd.openxmlformats-officedocument.spreadsheetml.worksheet+xml"/>
  <Override PartName="/xl/drawings/drawing8.xml" ContentType="application/vnd.openxmlformats-officedocument.drawing+xml"/>
  <Override PartName="/xl/worksheets/sheet49.xml" ContentType="application/vnd.openxmlformats-officedocument.spreadsheetml.worksheet+xml"/>
  <Override PartName="/xl/worksheets/sheet50.xml" ContentType="application/vnd.openxmlformats-officedocument.spreadsheetml.worksheet+xml"/>
  <Override PartName="/xl/comments51.xml" ContentType="application/vnd.openxmlformats-officedocument.spreadsheetml.comments+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comments63.xml" ContentType="application/vnd.openxmlformats-officedocument.spreadsheetml.comments+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worksheets/sheet89.xml" ContentType="application/vnd.openxmlformats-officedocument.spreadsheetml.worksheet+xml"/>
  <Override PartName="/xl/styles.xml" ContentType="application/vnd.openxmlformats-officedocument.spreadsheetml.styles+xml"/>
  <Override PartName="/xl/sharedStrings.xml" ContentType="application/vnd.openxmlformats-officedocument.spreadsheetml.sharedStrings+xml"/>
  <Default Extension="jpg" ContentType="image/jpg"/>
  <Default Extension="tiff" ContentType="image/tiff"/>
  <Default Extension="bmp" ContentType="image/bmp"/>
  <Default Extension="gif" ContentType="image/gif"/>
  <Default Extension="svg" ContentType="image/svg+xml"/>
  <Default Extension="emf" ContentType="image/x-emf"/>
  <Default Extension="wmf" ContentType="image/x-wmf"/>
  <Override PartName="/xl/calcChain.xml" ContentType="application/vnd.openxmlformats-officedocument.spreadsheetml.calcChain+xml"/>
</Types>
</file>

<file path=_rels/.rels><?xml version="1.0" encoding="UTF-8" standalone="yes"?><Relationships xmlns="http://schemas.openxmlformats.org/package/2006/relationships"><Relationship Id="rId2" Type="http://schemas.openxmlformats.org/package/2006/relationships/metadata/core-properties" Target="docProps/core.xml" /><Relationship Id="rId3" Type="http://schemas.openxmlformats.org/officeDocument/2006/relationships/extended-properties" Target="docProps/app.xml"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4" lowestEdited="4" rupBuild="9302"/>
  <workbookPr/>
  <bookViews>
    <workbookView xWindow="240" yWindow="120" windowWidth="14940" windowHeight="9225" tabRatio="852" firstSheet="1" activeTab="1"/>
  </bookViews>
  <sheets>
    <sheet name="Инструкция" sheetId="1" r:id="rId2"/>
    <sheet name="Титульный" sheetId="2" r:id="rId3"/>
    <sheet name="Список территорий" sheetId="3" r:id="rId4"/>
    <sheet name="Дифференциация" sheetId="4" r:id="rId5"/>
    <sheet name="Перечень тарифов" sheetId="5" state="hidden" r:id="rId6"/>
    <sheet name="Дифференциация тариф показатель" sheetId="6" state="hidden" r:id="rId7"/>
    <sheet name="Общая информация об организации" sheetId="7" state="hidden" r:id="rId8"/>
    <sheet name="Общая информация по ВД" sheetId="8" state="hidden" r:id="rId9"/>
    <sheet name="Виды объектов" sheetId="9" state="hidden" r:id="rId10"/>
    <sheet name="Сведения по территориям" sheetId="10" state="hidden" r:id="rId11"/>
    <sheet name="ТС. Т-ТЭ | &gt;=25МВт" sheetId="11" state="hidden" r:id="rId12"/>
    <sheet name="ТС. Т-ТЭ | ТСО" sheetId="12" state="hidden" r:id="rId13"/>
    <sheet name="ТС. Т-ТЭ | предел" sheetId="13" state="hidden" r:id="rId14"/>
    <sheet name="ТС. Т-ТЭ | индикат" sheetId="14" state="hidden" r:id="rId15"/>
    <sheet name="ТС. Резерв мощности" sheetId="15" state="hidden" r:id="rId16"/>
    <sheet name="ТС. Т-ТН" sheetId="16" state="hidden" r:id="rId17"/>
    <sheet name="ТС. Т-передача ТЭ" sheetId="17" state="hidden" r:id="rId18"/>
    <sheet name="ТС. Т-передача ТН" sheetId="18" state="hidden" r:id="rId19"/>
    <sheet name="ТС. Т-гор.вода" sheetId="19" state="hidden" r:id="rId20"/>
    <sheet name="ТС. Т-подкл" sheetId="20" state="hidden" r:id="rId21"/>
    <sheet name="ХВС. Т-пит" sheetId="21" state="hidden" r:id="rId22"/>
    <sheet name="ХВС. Т-тех" sheetId="22" state="hidden" r:id="rId23"/>
    <sheet name="ХВС. Т-транс" sheetId="23" state="hidden" r:id="rId24"/>
    <sheet name="ХВС. Т-подвоз" sheetId="24" state="hidden" r:id="rId25"/>
    <sheet name="ТС. Т-подкл(инд)" sheetId="25" state="hidden" r:id="rId26"/>
    <sheet name="ХВС. Т-подкл" sheetId="26" state="hidden" r:id="rId27"/>
    <sheet name="ВО. Т-во" sheetId="27" state="hidden" r:id="rId28"/>
    <sheet name="ВО. Т-транс" sheetId="28" state="hidden" r:id="rId29"/>
    <sheet name="ВО. Т-подкл" sheetId="29" state="hidden" r:id="rId30"/>
    <sheet name="ГВС. Т-гор.вода" sheetId="30" state="hidden" r:id="rId31"/>
    <sheet name="ГВС. Т-транс" sheetId="31" state="hidden" r:id="rId32"/>
    <sheet name="ГВС. Т-подкл" sheetId="32" state="hidden" r:id="rId33"/>
    <sheet name="Показатели ФХД" sheetId="33" state="hidden" r:id="rId34"/>
    <sheet name="Показатели ФХД &gt;20%" sheetId="34" state="hidden" r:id="rId35"/>
    <sheet name="Показатели ОТЭП" sheetId="35" state="hidden" r:id="rId36"/>
    <sheet name="Стандарты качества" sheetId="36" state="hidden" r:id="rId37"/>
    <sheet name="ТКО. Показатели ФХД" sheetId="37" state="hidden" r:id="rId38"/>
    <sheet name="ТКО. Транс. Показатели ФХД" sheetId="38" state="hidden" r:id="rId39"/>
    <sheet name="Показатели КНЭ" sheetId="39" state="hidden" r:id="rId40"/>
    <sheet name="Ограничения" sheetId="40" state="hidden" r:id="rId41"/>
    <sheet name="ИП" sheetId="41" state="hidden" r:id="rId42"/>
    <sheet name="ИП. Детализация" sheetId="42" state="hidden" r:id="rId43"/>
    <sheet name="ИП. Финансовый план" sheetId="43" state="hidden" r:id="rId44"/>
    <sheet name="ИП. КНЭ" sheetId="44" state="hidden" r:id="rId45"/>
    <sheet name="ТП" sheetId="45" r:id="rId46"/>
    <sheet name="Договоры" sheetId="46" state="hidden" r:id="rId47"/>
    <sheet name="Порядок ТП" sheetId="47" state="hidden" r:id="rId48"/>
    <sheet name="Предложение" sheetId="48" state="hidden" r:id="rId49"/>
    <sheet name="Сведения о закупках" sheetId="49" state="hidden" r:id="rId50"/>
    <sheet name="Потребительские характеристики" sheetId="50" state="hidden" r:id="rId51"/>
    <sheet name="TEHSHEET" sheetId="51" state="hidden" r:id="rId52"/>
    <sheet name="Орган регулирования" sheetId="52" state="hidden" r:id="rId53"/>
    <sheet name="Перечень организаций" sheetId="53" state="hidden" r:id="rId54"/>
    <sheet name="Дела об установлении тарифов" sheetId="54" state="hidden" r:id="rId55"/>
    <sheet name="Дела об утверждении ПУЦ" sheetId="55" state="hidden" r:id="rId56"/>
    <sheet name="Привлечение к ответственности" sheetId="56" state="hidden" r:id="rId57"/>
    <sheet name="ЭД" sheetId="57" state="hidden" r:id="rId58"/>
    <sheet name="Сведения об изменении" sheetId="58" state="hidden" r:id="rId59"/>
    <sheet name="Комментарии" sheetId="59" r:id="rId60"/>
    <sheet name="Проверка" sheetId="60" state="hidden" r:id="rId61"/>
    <sheet name="et_union_hor" sheetId="61" state="hidden" r:id="rId62"/>
    <sheet name="DATA_FORMS" sheetId="62" state="hidden" r:id="rId63"/>
    <sheet name="DATA_NPA" sheetId="63" state="hidden" r:id="rId64"/>
    <sheet name="Т-ТЭ | потр" sheetId="64" state="hidden" r:id="rId65"/>
    <sheet name="modMainProcedures" sheetId="65" state="hidden" r:id="rId66"/>
    <sheet name="modB_FHD" sheetId="66" state="hidden" r:id="rId67"/>
    <sheet name="modB_FHD20" sheetId="67" state="hidden" r:id="rId68"/>
    <sheet name="modB_KNE" sheetId="68" state="hidden" r:id="rId69"/>
    <sheet name="modIP_MAIN" sheetId="69" state="hidden" r:id="rId70"/>
    <sheet name="modIP_QRE" sheetId="70" state="hidden" r:id="rId71"/>
    <sheet name="modIP_DETAILED" sheetId="71" state="hidden" r:id="rId72"/>
    <sheet name="et_union_vert" sheetId="72" state="hidden" r:id="rId73"/>
    <sheet name="Легенда" sheetId="73" state="hidden" r:id="rId74"/>
    <sheet name="modfrmListIP" sheetId="74" state="hidden" r:id="rId75"/>
    <sheet name="modfrmActivity" sheetId="75" state="hidden" r:id="rId76"/>
    <sheet name="REESTR_ORG" sheetId="76" state="hidden" r:id="rId77"/>
    <sheet name="REESTR_MO" sheetId="77" state="hidden" r:id="rId78"/>
    <sheet name="REESTR_IP" sheetId="78" state="hidden" r:id="rId79"/>
    <sheet name="REESTR_OBJ_INFR" sheetId="79" state="hidden" r:id="rId80"/>
    <sheet name="REESTR_DS" sheetId="80" state="hidden" r:id="rId81"/>
    <sheet name="REESTR_VT" sheetId="81" state="hidden" r:id="rId82"/>
    <sheet name="REESTR_VED" sheetId="82" state="hidden" r:id="rId83"/>
    <sheet name="REESTR_MO_FILTER" sheetId="83" state="hidden" r:id="rId84"/>
    <sheet name="REESTR_LINK" sheetId="84" state="hidden" r:id="rId85"/>
    <sheet name="modSheetMain" sheetId="85" state="hidden" r:id="rId86"/>
    <sheet name="modfrmReportMode" sheetId="86" state="hidden" r:id="rId87"/>
    <sheet name="modfrmReestrObj" sheetId="87" state="hidden" r:id="rId88"/>
    <sheet name="AllSheetsInThisWorkbook" sheetId="88" state="hidden" r:id="rId89"/>
    <sheet name="modInfo" sheetId="89" state="hidden" r:id="rId90"/>
  </sheets>
  <definedNames>
    <definedName name="anscount">1</definedName>
    <definedName name="B_FHD_CHECK_INDEX_1">'Показатели ФХД'!$L$66</definedName>
    <definedName name="B_FHD_CHECK_INDEX_2">'Показатели ФХД'!$L$68</definedName>
    <definedName name="B_FHD_COSTS_INDEX_1">'Показатели ФХД'!$H$65:$J$65</definedName>
    <definedName name="B_FHD_COSTS_INDEX_2">'Показатели ФХД'!$H$67:$J$67</definedName>
    <definedName name="B_FHD_DATA_TOP80_ACTIVITY">'Показатели ФХД'!$H$81:$J$81</definedName>
    <definedName name="B_FHD_diff_1">'Показатели ФХД'!$I$25:$I$27</definedName>
    <definedName name="B_FHD_FLAG_DIFFERENTIATION">'Показатели ФХД'!$H$24:$J$24</definedName>
    <definedName name="B_FHD_FLAG_INDEX_1">'Показатели ФХД'!$H$66:$J$66</definedName>
    <definedName name="B_FHD_FLAG_INDEX_2">'Показатели ФХД'!$H$68:$J$68</definedName>
    <definedName name="B_FHD_TKO_DATA_TOP80_ACTIVITY">'ТКО. Показатели ФХД'!$H$43:$J$43</definedName>
    <definedName name="B_FHD_TKO_diff_1">'ТКО. Показатели ФХД'!$I$10:$I$12</definedName>
    <definedName name="B_FHD_TKO_FLAG_DIFFERENTIATION">'ТКО. Показатели ФХД'!$H$9:$J$9</definedName>
    <definedName name="B_FHD_TKO_TRANS_DATA_TOP80_ACTIVITY">'ТКО. Транс. Показатели ФХД'!$H$35:$J$35</definedName>
    <definedName name="B_FHD_TKO_TRANS_diff_1">'ТКО. Транс. Показатели ФХД'!$I$10:$I$12</definedName>
    <definedName name="B_FHD_TKO_TRANS_FLAG_DIFFERENTIATION">'ТКО. Транс. Показатели ФХД'!$H$9:$J$9</definedName>
    <definedName name="B_FHD20_ADD_HL_2_COLUMN_MARKER">'Показатели ФХД &gt;20%'!$G$8</definedName>
    <definedName name="B_FHD20_ADD_HL_3_COLUMN_MARKER">'Показатели ФХД &gt;20%'!$J$8</definedName>
    <definedName name="B_FHD20_ADD_HL_4_COLUMN_MARKER">'Показатели ФХД &gt;20%'!$N$8</definedName>
    <definedName name="B_FHD20_ALL_DATA">'Показатели ФХД &gt;20%'!$D$13:$S$23</definedName>
    <definedName name="B_FHD20_COSTS_OPS_diff_1">'Показатели ФХД &gt;20%'!$Q$17</definedName>
    <definedName name="B_FHD20_COSTS_PH_diff_1">'Показатели ФХД &gt;20%'!$Q$20</definedName>
    <definedName name="B_FHD20_DEL_HL_2_COLUMN_MARKER">'Показатели ФХД &gt;20%'!$E$8</definedName>
    <definedName name="B_FHD20_DEL_HL_3_COLUMN_MARKER">'Показатели ФХД &gt;20%'!$H$8</definedName>
    <definedName name="B_FHD20_DEL_HL_4_COLUMN_MARKER">'Показатели ФХД &gt;20%'!$L$8</definedName>
    <definedName name="B_FHD20_diff_1">'Показатели ФХД &gt;20%'!$H$14:$R$16</definedName>
    <definedName name="B_FHD20_FLAG_FHD">'Показатели ФХД &gt;20%'!$V$11:$V$23</definedName>
    <definedName name="B_FHD20_NUMBER_COLUMN_MARKER">'Показатели ФХД &gt;20%'!$D$8</definedName>
    <definedName name="B_FHD20_PART_COLUMN_MARKER">'Показатели ФХД &gt;20%'!$R$8</definedName>
    <definedName name="B_KNE_diff_1">'Показатели КНЭ'!$I$7:$J$9</definedName>
    <definedName name="B_OTEP_diff_1">'Показатели ОТЭП'!$L$10:$L$12</definedName>
    <definedName name="B_OTEP_FLAG_DIFFERENTIATION">'Показатели ОТЭП'!$L$9:$O$9</definedName>
    <definedName name="B_OTEP_HEAT_DATA_TOP80_ACTIVITY">'Показатели ОТЭП'!$L$15:$O$15</definedName>
    <definedName name="BLOCK_BALANCE_INDICATORS">Титульный!$50:$60</definedName>
    <definedName name="BLOCK_BALANCE_TKO_FLAG_TRANS">Титульный!$61:$62</definedName>
    <definedName name="BLOCK_CONNECTION_STATE">Титульный!$48:$49</definedName>
    <definedName name="BLOCK_DIFF_CS">Титульный!$40:$41</definedName>
    <definedName name="BLOCK_DIFFERENTIATION_NOT_TKO">Дифференциация!$J:$M</definedName>
    <definedName name="BLOCK_FIRST_TARIFF">Титульный!$20:$24</definedName>
    <definedName name="BLOCK_FIRST_TARIFF_OREG_PUBL">Титульный!$23:$24</definedName>
    <definedName name="BLOCK_IP_DETAILED_FACT_IST_FIN">'ИП. Детализация'!$AD:$AE</definedName>
    <definedName name="BLOCK_IP_DETAILED_FACT_PERIOD_EVENT">'ИП. Детализация'!$AI:$AK</definedName>
    <definedName name="BLOCK_MAIN_INFO_HEAT">'Общая информация об организации'!$19:$24</definedName>
    <definedName name="BLOCK_MAIN_INFO_NOT_TKO">'Общая информация об организации'!$46:$49</definedName>
    <definedName name="BLOCK_MAIN_INFO_OBJECT_COLDVSNA">'Общая информация по ВД'!$X:$Z</definedName>
    <definedName name="BLOCK_MAIN_INFO_OBJECT_COMM_COLDVSNA">'Общая информация по ВД'!$AG:$AG</definedName>
    <definedName name="BLOCK_MAIN_INFO_OBJECT_COMM_HEAT">'Общая информация по ВД'!$AE:$AE</definedName>
    <definedName name="BLOCK_MAIN_INFO_OBJECT_COMM_HOTVSNA">'Общая информация по ВД'!$AH:$AH</definedName>
    <definedName name="BLOCK_MAIN_INFO_OBJECT_COMM_VOTV">'Общая информация по ВД'!$AF:$AF</definedName>
    <definedName name="BLOCK_MAIN_INFO_OBJECT_HEAT">'Общая информация по ВД'!$H:$R</definedName>
    <definedName name="BLOCK_MAIN_INFO_OBJECT_HOTVSNA">'Общая информация по ВД'!$AB:$AC</definedName>
    <definedName name="BLOCK_MAIN_INFO_OBJECT_VOTV">'Общая информация по ВД'!$T:$V</definedName>
    <definedName name="BLOCK_NOT_ROIV_INDICATORS_1">Титульный!$37:$37</definedName>
    <definedName name="BLOCK_NOT_ROIV_INDICATORS_2">Титульный!$38:$39</definedName>
    <definedName name="BLOCK_NOT_ROIV_INDICATORS_3">Титульный!$63:$65</definedName>
    <definedName name="BLOCK_NOTE_P_TARIFF_A">'ТС. Т-ТЭ | &gt;=25МВт'!$58:$60</definedName>
    <definedName name="BLOCK_NOTE_P_TARIFF_A_COLDVSNA">'ХВС. Т-пит'!$54:$55</definedName>
    <definedName name="BLOCK_NOTE_P_TARIFF_A_HOTVSNA">'ГВС. Т-гор.вода'!$55:$56</definedName>
    <definedName name="BLOCK_NOTE_P_TARIFF_A_VOTV">'ВО. Т-во'!$54:$55</definedName>
    <definedName name="BLOCK_NOTE_P_TARIFF_B">'ТС. Т-ТЭ | ТСО'!$58:$60</definedName>
    <definedName name="BLOCK_NOTE_P_TARIFF_B_COLDVSNA">'ХВС. Т-тех'!$54:$55</definedName>
    <definedName name="BLOCK_NOTE_P_TARIFF_B_HOTVSNA">'ГВС. Т-транс'!$55:$56</definedName>
    <definedName name="BLOCK_NOTE_P_TARIFF_B_VOTV">'ВО. Т-транс'!$54:$55</definedName>
    <definedName name="BLOCK_NOTE_P_TARIFF_C">'ТС. Т-ТН'!$58:$61</definedName>
    <definedName name="BLOCK_NOTE_P_TARIFF_C_COLDVSNA">'ХВС. Т-транс'!$54:$55</definedName>
    <definedName name="BLOCK_NOTE_P_TARIFF_C_HOTVSNA">'ГВС. Т-подкл'!$64:$65</definedName>
    <definedName name="BLOCK_NOTE_P_TARIFF_C_VOTV">'ВО. Т-подкл'!$64:$65</definedName>
    <definedName name="BLOCK_NOTE_P_TARIFF_D">'ТС. Т-гор.вода'!$66:$68</definedName>
    <definedName name="BLOCK_NOTE_P_TARIFF_D_COLDVSNA">'ХВС. Т-подвоз'!$54:$55</definedName>
    <definedName name="BLOCK_NOTE_P_TARIFF_E_COLDVSNA">'ХВС. Т-подкл'!$64:$65</definedName>
    <definedName name="BLOCK_NOTE_P_TARIFF_E1">'ТС. Т-передача ТЭ'!$58:$61</definedName>
    <definedName name="BLOCK_NOTE_P_TARIFF_E2">'ТС. Т-передача ТН'!$58:$61</definedName>
    <definedName name="BLOCK_NOTE_P_TARIFF_F">'ТС. Резерв мощности'!$58:$60</definedName>
    <definedName name="BLOCK_NOTE_P_TARIFF_G">'ТС. Т-подкл'!$63:$65</definedName>
    <definedName name="BLOCK_NOTE_P_TARIFF_H">'ТС. Т-подкл(инд)'!$60:$62</definedName>
    <definedName name="BLOCK_NOTE_P_TARIFF_I">'ТС. Т-ТЭ | предел'!$58:$60</definedName>
    <definedName name="BLOCK_NOTE_P_TARIFF_I_1">'ТС. Т-ТЭ | индикат'!$58:$60</definedName>
    <definedName name="BLOCK_NOTE_R_TARIFF_A">'ТС. Т-ТЭ | &gt;=25МВт'!$61:$64</definedName>
    <definedName name="BLOCK_NOTE_R_TARIFF_A_COLDVSNA">'ХВС. Т-пит'!$56:$57</definedName>
    <definedName name="BLOCK_NOTE_R_TARIFF_A_HOTVSNA">'ГВС. Т-гор.вода'!$57:$58</definedName>
    <definedName name="BLOCK_NOTE_R_TARIFF_A_VOTV">'ВО. Т-во'!$56:$57</definedName>
    <definedName name="BLOCK_NOTE_R_TARIFF_B">'ТС. Т-ТЭ | ТСО'!$61:$64</definedName>
    <definedName name="BLOCK_NOTE_R_TARIFF_B_COLDVSNA">'ХВС. Т-тех'!$56:$57</definedName>
    <definedName name="BLOCK_NOTE_R_TARIFF_B_HOTVSNA">'ГВС. Т-транс'!$57:$58</definedName>
    <definedName name="BLOCK_NOTE_R_TARIFF_B_VOTV">'ВО. Т-транс'!$56:$57</definedName>
    <definedName name="BLOCK_NOTE_R_TARIFF_C">'ТС. Т-ТН'!$62:$65</definedName>
    <definedName name="BLOCK_NOTE_R_TARIFF_C_COLDVSNA">'ХВС. Т-транс'!$56:$57</definedName>
    <definedName name="BLOCK_NOTE_R_TARIFF_C_HOTVSNA">'ГВС. Т-подкл'!$66:$67</definedName>
    <definedName name="BLOCK_NOTE_R_TARIFF_C_VOTV">'ВО. Т-подкл'!$66:$67</definedName>
    <definedName name="BLOCK_NOTE_R_TARIFF_D">'ТС. Т-гор.вода'!$69:$71</definedName>
    <definedName name="BLOCK_NOTE_R_TARIFF_D_COLDVSNA">'ХВС. Т-подвоз'!$56:$57</definedName>
    <definedName name="BLOCK_NOTE_R_TARIFF_E_COLDVSNA">'ХВС. Т-подкл'!$66:$67</definedName>
    <definedName name="BLOCK_NOTE_R_TARIFF_E1">'ТС. Т-передача ТЭ'!$62:$65</definedName>
    <definedName name="BLOCK_NOTE_R_TARIFF_E2">'ТС. Т-передача ТН'!$62:$65</definedName>
    <definedName name="BLOCK_NOTE_R_TARIFF_F">'ТС. Резерв мощности'!$61:$64</definedName>
    <definedName name="BLOCK_NOTE_R_TARIFF_G">'ТС. Т-подкл'!$66:$68</definedName>
    <definedName name="BLOCK_NOTE_R_TARIFF_H">'ТС. Т-подкл(инд)'!$63:$65</definedName>
    <definedName name="BLOCK_NOTE_R_TARIFF_I">'ТС. Т-ТЭ | предел'!$61:$64</definedName>
    <definedName name="BLOCK_NOTE_R_TARIFF_I_1">'ТС. Т-ТЭ | индикат'!$61:$64</definedName>
    <definedName name="BLOCK_PERIOD_DATA">Титульный!$13:$13</definedName>
    <definedName name="BLOCK_PERIOD_QUARTER">Титульный!$15:$15</definedName>
    <definedName name="BLOCK_PERIOD_TWO_DATA">Титульный!$11:$12</definedName>
    <definedName name="BLOCK_PERIOD_YEAR">Титульный!$14:$14</definedName>
    <definedName name="BLOCK_POK_FHD_COLDVSNA_P1">'Показатели ФХД'!$82:$90</definedName>
    <definedName name="BLOCK_POK_FHD_COLDVSNA_P2">'Показатели ФХД'!$115:$119</definedName>
    <definedName name="BLOCK_POK_FHD_HEAT_ONLY_REG_ORG_P1">'Показатели ФХД'!$56:$57</definedName>
    <definedName name="BLOCK_POK_FHD_HEAT_ONLY_REG_ORG_P2">'Показатели ФХД'!$80:$131</definedName>
    <definedName name="BLOCK_POK_FHD_HEAT_P1">'Показатели ФХД'!$33:$40</definedName>
    <definedName name="BLOCK_POK_FHD_HEAT_P2">'Показатели ФХД'!$72:$72</definedName>
    <definedName name="BLOCK_POK_FHD_HEAT_P3">'Показатели ФХД'!$99:$111</definedName>
    <definedName name="BLOCK_POK_FHD_HEAT_P4">'Показатели ФХД'!$113:$113</definedName>
    <definedName name="BLOCK_POK_FHD_HEAT_P5">'Показатели ФХД'!$120:$130</definedName>
    <definedName name="BLOCK_POK_FHD_HEAT_P6">'Показатели ФХД'!$47:$47</definedName>
    <definedName name="BLOCK_POK_FHD_HOTVSNA_P1">'Показатели ФХД'!$41:$43</definedName>
    <definedName name="BLOCK_POK_FHD_HOTVSNA_P2">'Показатели ФХД'!$91:$95</definedName>
    <definedName name="BLOCK_POK_FHD_NOT_HEAT_P1">'Показатели ФХД'!$67:$68</definedName>
    <definedName name="BLOCK_POK_FHD_NOT_HEAT_P2">'Показатели ФХД'!$80:$80</definedName>
    <definedName name="BLOCK_POK_FHD_NOT_HOTVSNA">'Показатели ФХД'!$48:$48</definedName>
    <definedName name="BLOCK_POK_FHD_VOTV_P1">'Показатели ФХД'!$96:$98</definedName>
    <definedName name="BLOCK_POK_FHD_VSNA">'Показатели ФХД'!$114:$114</definedName>
    <definedName name="BLOCK_POK_FHD20_NOT_HEAT">'Показатели ФХД &gt;20%'!$20:$22</definedName>
    <definedName name="BLOCK_POK_KNE_COLDVSNA">'Показатели КНЭ'!$37:$63</definedName>
    <definedName name="BLOCK_POK_KNE_HEAT">'Показатели КНЭ'!$13:$35</definedName>
    <definedName name="BLOCK_POK_KNE_HOTVSNA">'Показатели КНЭ'!$65:$75</definedName>
    <definedName name="BLOCK_POK_KNE_VOTV">'Показатели КНЭ'!$77:$100</definedName>
    <definedName name="BLOCK_PRICE_INDICATORS_HEAT">Титульный!$42:$47</definedName>
    <definedName name="BLOCK_PRICE_INDICATORS_LEVEL">Титульный!$43:$44</definedName>
    <definedName name="BLOCK_PRICE_IST_TE">'Перечень тарифов'!$S:$V</definedName>
    <definedName name="BLOCK_PRICE_REQUEST">Титульный!$20:$24</definedName>
    <definedName name="BLOCK_PT_COLDVSNA">'Перечень тарифов'!$79:$103</definedName>
    <definedName name="BLOCK_PT_HEAT">'Перечень тарифов'!$13:$77</definedName>
    <definedName name="BLOCK_PT_HEAT_NOT_R">'Перечень тарифов'!$63:$67</definedName>
    <definedName name="BLOCK_PT_HEAT_NOT_R_TMP">'Перечень тарифов'!$58:$62</definedName>
    <definedName name="BLOCK_PT_HEAT_PHEAT">'Перечень тарифов'!$23:$27</definedName>
    <definedName name="BLOCK_PT_HEAT_PHEAT_HIDDEN_FORMULAS">'Перечень тарифов'!$Z$23:$AQ$23</definedName>
    <definedName name="BLOCK_PT_HEAT_RHEAT">'Перечень тарифов'!$18:$22</definedName>
    <definedName name="BLOCK_PT_HEAT_RHEAT_HIDDEN_FORMULAS">'Перечень тарифов'!$Z$18:$AQ$18</definedName>
    <definedName name="BLOCK_PT_HOTVSNA">'Перечень тарифов'!$105:$119</definedName>
    <definedName name="BLOCK_PT_VOTV">'Перечень тарифов'!$121:$135</definedName>
    <definedName name="BLOCK_TABLE_P_TARIFF_A">'ТС. Т-ТЭ | &gt;=25МВт'!$28:$32</definedName>
    <definedName name="BLOCK_TABLE_P_TARIFF_A_COLDVSNA">'ХВС. Т-пит'!$26:$30</definedName>
    <definedName name="BLOCK_TABLE_P_TARIFF_A_HOTVSNA">'ГВС. Т-гор.вода'!$26:$30</definedName>
    <definedName name="BLOCK_TABLE_P_TARIFF_A_VOTV">'ВО. Т-во'!$26:$30</definedName>
    <definedName name="BLOCK_TABLE_P_TARIFF_B">'ТС. Т-ТЭ | ТСО'!$28:$32</definedName>
    <definedName name="BLOCK_TABLE_P_TARIFF_B_COLDVSNA">'ХВС. Т-тех'!$26:$30</definedName>
    <definedName name="BLOCK_TABLE_P_TARIFF_B_HOTVSNA">'ГВС. Т-транс'!$26:$30</definedName>
    <definedName name="BLOCK_TABLE_P_TARIFF_B_VOTV">'ВО. Т-транс'!$26:$30</definedName>
    <definedName name="BLOCK_TABLE_P_TARIFF_C">'ТС. Т-ТН'!$28:$32</definedName>
    <definedName name="BLOCK_TABLE_P_TARIFF_C_COLDVSNA">'ХВС. Т-транс'!$26:$30</definedName>
    <definedName name="BLOCK_TABLE_P_TARIFF_C_HOTVSNA">'ГВС. Т-подкл'!$30:$34</definedName>
    <definedName name="BLOCK_TABLE_P_TARIFF_C_VOTV">'ВО. Т-подкл'!$30:$34</definedName>
    <definedName name="BLOCK_TABLE_P_TARIFF_D">'ТС. Т-гор.вода'!$32:$36</definedName>
    <definedName name="BLOCK_TABLE_P_TARIFF_D_COLDVSNA">'ХВС. Т-подвоз'!$26:$30</definedName>
    <definedName name="BLOCK_TABLE_P_TARIFF_E_COLDVSNA">'ХВС. Т-подкл'!$30:$34</definedName>
    <definedName name="BLOCK_TABLE_P_TARIFF_E1">'ТС. Т-передача ТЭ'!$28:$32</definedName>
    <definedName name="BLOCK_TABLE_P_TARIFF_E2">'ТС. Т-передача ТН'!$28:$32</definedName>
    <definedName name="BLOCK_TABLE_P_TARIFF_F">'ТС. Резерв мощности'!$28:$32</definedName>
    <definedName name="BLOCK_TABLE_P_TARIFF_G">'ТС. Т-подкл'!$29:$33</definedName>
    <definedName name="BLOCK_TABLE_P_TARIFF_H">'ТС. Т-подкл(инд)'!$26:$30</definedName>
    <definedName name="BLOCK_TABLE_P_TARIFF_I">'ТС. Т-ТЭ | предел'!$28:$32</definedName>
    <definedName name="BLOCK_TABLE_P_TARIFF_I_1">'ТС. Т-ТЭ | индикат'!$28:$32</definedName>
    <definedName name="BLOCK_TABLE_R_TARIFF_A">'ТС. Т-ТЭ | &gt;=25МВт'!$33:$35</definedName>
    <definedName name="BLOCK_TABLE_R_TARIFF_A_COLDVSNA">'ХВС. Т-пит'!$31:$33</definedName>
    <definedName name="BLOCK_TABLE_R_TARIFF_A_HOTVSNA">'ГВС. Т-гор.вода'!$31:$33</definedName>
    <definedName name="BLOCK_TABLE_R_TARIFF_A_VOTV">'ВО. Т-во'!$31:$33</definedName>
    <definedName name="BLOCK_TABLE_R_TARIFF_B">'ТС. Т-ТЭ | ТСО'!$33:$35</definedName>
    <definedName name="BLOCK_TABLE_R_TARIFF_B_COLDVSNA">'ХВС. Т-тех'!$31:$33</definedName>
    <definedName name="BLOCK_TABLE_R_TARIFF_B_HOTVSNA">'ГВС. Т-транс'!$31:$33</definedName>
    <definedName name="BLOCK_TABLE_R_TARIFF_B_VOTV">'ВО. Т-транс'!$31:$33</definedName>
    <definedName name="BLOCK_TABLE_R_TARIFF_C">'ТС. Т-ТН'!$33:$35</definedName>
    <definedName name="BLOCK_TABLE_R_TARIFF_C_COLDVSNA">'ХВС. Т-транс'!$31:$33</definedName>
    <definedName name="BLOCK_TABLE_R_TARIFF_C_HOTVSNA">'ГВС. Т-подкл'!$35:$37</definedName>
    <definedName name="BLOCK_TABLE_R_TARIFF_C_VOTV">'ВО. Т-подкл'!$35:$37</definedName>
    <definedName name="BLOCK_TABLE_R_TARIFF_D">'ТС. Т-гор.вода'!$37:$39</definedName>
    <definedName name="BLOCK_TABLE_R_TARIFF_D_COLDVSNA">'ХВС. Т-подвоз'!$31:$33</definedName>
    <definedName name="BLOCK_TABLE_R_TARIFF_E_COLDVSNA">'ХВС. Т-подкл'!$35:$37</definedName>
    <definedName name="BLOCK_TABLE_R_TARIFF_E1">'ТС. Т-передача ТЭ'!$33:$35</definedName>
    <definedName name="BLOCK_TABLE_R_TARIFF_E2">'ТС. Т-передача ТН'!$33:$35</definedName>
    <definedName name="BLOCK_TABLE_R_TARIFF_F">'ТС. Резерв мощности'!$33:$35</definedName>
    <definedName name="BLOCK_TABLE_R_TARIFF_G">'ТС. Т-подкл'!$34:$36</definedName>
    <definedName name="BLOCK_TABLE_R_TARIFF_H">'ТС. Т-подкл(инд)'!$31:$33</definedName>
    <definedName name="BLOCK_TABLE_R_TARIFF_I">'ТС. Т-ТЭ | предел'!$33:$35</definedName>
    <definedName name="BLOCK_TABLE_R_TARIFF_I_1">'ТС. Т-ТЭ | индикат'!$33:$35</definedName>
    <definedName name="BLOCK_TEMPLATES_INVEST_TIT">Титульный!$59:$60</definedName>
    <definedName name="BLOCK_TERMS_HEAT_P1">Договоры!$19:$19</definedName>
    <definedName name="BLOCK_TERMS_NOT_TKO_P1">Договоры!$16:$18</definedName>
    <definedName name="BLOCK_TERMS_NOT_TKO_P2">Договоры!$20:$22</definedName>
    <definedName name="BLOCK_TERMS_TKO_TRANS">Договоры!$23:$26</definedName>
    <definedName name="BLOCK_TERRITORY_INFO">'Список территорий'!$7:$7</definedName>
    <definedName name="BLOCK_TITLE_ROIV_INFO">Титульный!$9:$9</definedName>
    <definedName name="BLOCK_WARM_ORG_TYPE">Титульный!$36:$36</definedName>
    <definedName name="checkCell_List01">'Список территорий'!$E$15:$I$15</definedName>
    <definedName name="checkCell_List07">'Сведения об изменении'!$D$11:$E$13</definedName>
    <definedName name="CLASS_TKO_LIST">TEHSHEET!$AZ$90:$AZ$94</definedName>
    <definedName name="code">Инструкция!$B$2</definedName>
    <definedName name="CodeTemplateList">TEHSHEET!$F$46:$F$53</definedName>
    <definedName name="COLDVSNA_FIN_SRC_LIST">TEHSHEET!$BJ$4:$BJ$34</definedName>
    <definedName name="COLDVSNA_FIN_SRC_VLD_LIST">TEHSHEET!$BJ$39:$BJ$60</definedName>
    <definedName name="COLDVSNA_IP_EVENT_CI_STAGE_LIST">TEHSHEET!$BJ$97:$BJ$100</definedName>
    <definedName name="COLDVSNA_IP_EVENT_GROUP_LIST">TEHSHEET!$BJ$69:$BJ$76</definedName>
    <definedName name="COLDVSNA_IP_EVENT_SUBGROUP_1_LIST">TEHSHEET!$BJ$80:$BJ$83</definedName>
    <definedName name="COLDVSNA_IP_EVENT_SUBGROUP_3_LIST">TEHSHEET!$BJ$87:$BJ$88</definedName>
    <definedName name="COLDVSNA_IP_EVENT_SUBGROUP_5_LIST">TEHSHEET!$BJ$92:$BJ$93</definedName>
    <definedName name="COLDVSNA_IP_EVENT_TYPE_LIST">TEHSHEET!$BJ$108</definedName>
    <definedName name="COLDVSNA_PT_VED_ID">TEHSHEET!$BT$19:$BT$25</definedName>
    <definedName name="COLDVSNA_PT_VED_NAME">TEHSHEET!$BU$19:$BU$25</definedName>
    <definedName name="COLDVSNA_PT_VED_NAME_LIST">TEHSHEET!$BT$19:$BU$25</definedName>
    <definedName name="COLDVSNA_TARIFF_A_COLDVSNA_ADD_HL_COLUMN_MARKER">'ХВС. Т-пит'!$T$34</definedName>
    <definedName name="COLDVSNA_TARIFF_A_COLDVSNA_DEL_HL_DATA_DIFF_COLUMN_MARKER">'ХВС. Т-пит'!$R$34</definedName>
    <definedName name="COLDVSNA_TARIFF_A_COLDVSNA_DEL_HL_FLAG_DIFF_COLUMN_MARKER">'ХВС. Т-пит'!$P$34</definedName>
    <definedName name="COLDVSNA_TARIFF_A_COLDVSNA_DEL_HL_GC_COLUMN_MARKER">'ХВС. Т-пит'!$Q$34</definedName>
    <definedName name="COLDVSNA_TARIFF_A_COLDVSNA_DELETE_PERIOD_ROW_MARKER">'ХВС. Т-пит'!$O$35</definedName>
    <definedName name="COLDVSNA_TARIFF_A_COLDVSNA_FLAG_BLOCK_COLUMN_MARKER">'ХВС. Т-пит'!$L$36</definedName>
    <definedName name="COLDVSNA_TARIFF_A_COLDVSNA_FLAG_BLOCK_ROW_MARKER">'ХВС. Т-пит'!$O$20</definedName>
    <definedName name="COLDVSNA_TARIFF_A_COLDVSNA_NUM_CS_COLUMN_MARKER">'ХВС. Т-пит'!$G$36</definedName>
    <definedName name="COLDVSNA_TARIFF_A_COLDVSNA_NUM_DATA_DIFF_COLUMN_MARKER">'ХВС. Т-пит'!$K$36</definedName>
    <definedName name="COLDVSNA_TARIFF_A_COLDVSNA_NUM_FLAG_DIFF_COLUMN_MARKER">'ХВС. Т-пит'!$I$36</definedName>
    <definedName name="COLDVSNA_TARIFF_A_COLDVSNA_NUM_GC_COLUMN_MARKER">'ХВС. Т-пит'!$J$36</definedName>
    <definedName name="COLDVSNA_TARIFF_A_COLDVSNA_NUM_NTAR_COLUMN_MARKER">'ХВС. Т-пит'!$E$36</definedName>
    <definedName name="COLDVSNA_TARIFF_A_COLDVSNA_NUM_TER_COLUMN_MARKER">'ХВС. Т-пит'!$F$36</definedName>
    <definedName name="COLDVSNA_TARIFF_B_COLDVSNA_ADD_HL_COLUMN_MARKER">'ХВС. Т-тех'!$T$34</definedName>
    <definedName name="COLDVSNA_TARIFF_B_COLDVSNA_DEL_HL_DATA_DIFF_COLUMN_MARKER">'ХВС. Т-тех'!$R$34</definedName>
    <definedName name="COLDVSNA_TARIFF_B_COLDVSNA_DEL_HL_FLAG_DIFF_COLUMN_MARKER">'ХВС. Т-тех'!$P$34</definedName>
    <definedName name="COLDVSNA_TARIFF_B_COLDVSNA_DEL_HL_GC_COLUMN_MARKER">'ХВС. Т-тех'!$Q$34</definedName>
    <definedName name="COLDVSNA_TARIFF_B_COLDVSNA_DELETE_PERIOD_ROW_MARKER">'ХВС. Т-тех'!$O$35</definedName>
    <definedName name="COLDVSNA_TARIFF_B_COLDVSNA_FLAG_BLOCK_COLUMN_MARKER">'ХВС. Т-тех'!$L$36</definedName>
    <definedName name="COLDVSNA_TARIFF_B_COLDVSNA_FLAG_BLOCK_ROW_MARKER">'ХВС. Т-тех'!$O$20</definedName>
    <definedName name="COLDVSNA_TARIFF_B_COLDVSNA_NUM_CS_COLUMN_MARKER">'ХВС. Т-тех'!$G$36</definedName>
    <definedName name="COLDVSNA_TARIFF_B_COLDVSNA_NUM_DATA_DIFF_COLUMN_MARKER">'ХВС. Т-тех'!$K$36</definedName>
    <definedName name="COLDVSNA_TARIFF_B_COLDVSNA_NUM_FLAG_DIFF_COLUMN_MARKER">'ХВС. Т-тех'!$I$36</definedName>
    <definedName name="COLDVSNA_TARIFF_B_COLDVSNA_NUM_GC_COLUMN_MARKER">'ХВС. Т-тех'!$J$36</definedName>
    <definedName name="COLDVSNA_TARIFF_B_COLDVSNA_NUM_NTAR_COLUMN_MARKER">'ХВС. Т-тех'!$E$36</definedName>
    <definedName name="COLDVSNA_TARIFF_B_COLDVSNA_NUM_TER_COLUMN_MARKER">'ХВС. Т-тех'!$F$36</definedName>
    <definedName name="COLDVSNA_TARIFF_C_COLDVSNA_ADD_HL_COLUMN_MARKER">'ХВС. Т-транс'!$T$34</definedName>
    <definedName name="COLDVSNA_TARIFF_C_COLDVSNA_DEL_HL_DATA_DIFF_COLUMN_MARKER">'ХВС. Т-транс'!$R$34</definedName>
    <definedName name="COLDVSNA_TARIFF_C_COLDVSNA_DEL_HL_FLAG_DIFF_COLUMN_MARKER">'ХВС. Т-транс'!$P$34</definedName>
    <definedName name="COLDVSNA_TARIFF_C_COLDVSNA_DEL_HL_GC_COLUMN_MARKER">'ХВС. Т-транс'!$Q$34</definedName>
    <definedName name="COLDVSNA_TARIFF_C_COLDVSNA_DELETE_PERIOD_ROW_MARKER">'ХВС. Т-транс'!$O$35</definedName>
    <definedName name="COLDVSNA_TARIFF_C_COLDVSNA_FLAG_BLOCK_COLUMN_MARKER">'ХВС. Т-транс'!$L$36</definedName>
    <definedName name="COLDVSNA_TARIFF_C_COLDVSNA_FLAG_BLOCK_ROW_MARKER">'ХВС. Т-транс'!$O$20</definedName>
    <definedName name="COLDVSNA_TARIFF_C_COLDVSNA_NUM_CS_COLUMN_MARKER">'ХВС. Т-транс'!$G$36</definedName>
    <definedName name="COLDVSNA_TARIFF_C_COLDVSNA_NUM_DATA_DIFF_COLUMN_MARKER">'ХВС. Т-транс'!$K$36</definedName>
    <definedName name="COLDVSNA_TARIFF_C_COLDVSNA_NUM_FLAG_DIFF_COLUMN_MARKER">'ХВС. Т-транс'!$I$36</definedName>
    <definedName name="COLDVSNA_TARIFF_C_COLDVSNA_NUM_GC_COLUMN_MARKER">'ХВС. Т-транс'!$J$36</definedName>
    <definedName name="COLDVSNA_TARIFF_C_COLDVSNA_NUM_NTAR_COLUMN_MARKER">'ХВС. Т-транс'!$E$36</definedName>
    <definedName name="COLDVSNA_TARIFF_C_COLDVSNA_NUM_TER_COLUMN_MARKER">'ХВС. Т-транс'!$F$36</definedName>
    <definedName name="COLDVSNA_TARIFF_D_COLDVSNA_ADD_HL_COLUMN_MARKER">'ХВС. Т-подвоз'!$T$34</definedName>
    <definedName name="COLDVSNA_TARIFF_D_COLDVSNA_DEL_HL_DATA_DIFF_COLUMN_MARKER">'ХВС. Т-подвоз'!$R$34</definedName>
    <definedName name="COLDVSNA_TARIFF_D_COLDVSNA_DEL_HL_FLAG_DIFF_COLUMN_MARKER">'ХВС. Т-подвоз'!$P$34</definedName>
    <definedName name="COLDVSNA_TARIFF_D_COLDVSNA_DEL_HL_GC_COLUMN_MARKER">'ХВС. Т-подвоз'!$Q$34</definedName>
    <definedName name="COLDVSNA_TARIFF_D_COLDVSNA_DELETE_PERIOD_ROW_MARKER">'ХВС. Т-подвоз'!$O$35</definedName>
    <definedName name="COLDVSNA_TARIFF_D_COLDVSNA_FLAG_BLOCK_COLUMN_MARKER">'ХВС. Т-подвоз'!$L$36</definedName>
    <definedName name="COLDVSNA_TARIFF_D_COLDVSNA_FLAG_BLOCK_ROW_MARKER">'ХВС. Т-подвоз'!$O$20</definedName>
    <definedName name="COLDVSNA_TARIFF_D_COLDVSNA_NUM_CS_COLUMN_MARKER">'ХВС. Т-подвоз'!$G$36</definedName>
    <definedName name="COLDVSNA_TARIFF_D_COLDVSNA_NUM_DATA_DIFF_COLUMN_MARKER">'ХВС. Т-подвоз'!$K$36</definedName>
    <definedName name="COLDVSNA_TARIFF_D_COLDVSNA_NUM_FLAG_DIFF_COLUMN_MARKER">'ХВС. Т-подвоз'!$I$36</definedName>
    <definedName name="COLDVSNA_TARIFF_D_COLDVSNA_NUM_GC_COLUMN_MARKER">'ХВС. Т-подвоз'!$J$36</definedName>
    <definedName name="COLDVSNA_TARIFF_D_COLDVSNA_NUM_NTAR_COLUMN_MARKER">'ХВС. Т-подвоз'!$E$36</definedName>
    <definedName name="COLDVSNA_TARIFF_D_COLDVSNA_NUM_TER_COLUMN_MARKER">'ХВС. Т-подвоз'!$F$36</definedName>
    <definedName name="COLDVSNA_TARIFF_E_COLDVSNA_ADD_HL_COLUMN_MARKER">'ХВС. Т-подкл'!$T$38</definedName>
    <definedName name="COLDVSNA_TARIFF_E_COLDVSNA_ADD_HL_DIAMETERS_COLUMN_MARKER">'ХВС. Т-подкл'!$AK$38</definedName>
    <definedName name="COLDVSNA_TARIFF_E_COLDVSNA_ADD_HL_LEN_COLUMN_MARKER">'ХВС. Т-подкл'!$AO$38</definedName>
    <definedName name="COLDVSNA_TARIFF_E_COLDVSNA_ADD_HL_LOAD_COLUMN_MARKER">'ХВС. Т-подкл'!$AG$38</definedName>
    <definedName name="COLDVSNA_TARIFF_E_COLDVSNA_ADD_HL_NETS_COLUMN_MARKER">'ХВС. Т-подкл'!$AS$38</definedName>
    <definedName name="COLDVSNA_TARIFF_E_COLDVSNA_DEL_HL_DATA_DIFF_COLUMN_MARKER">'ХВС. Т-подкл'!$R$38</definedName>
    <definedName name="COLDVSNA_TARIFF_E_COLDVSNA_DEL_HL_DIAMETERS_COLUMN_MARKER">'ХВС. Т-подкл'!$AI$38</definedName>
    <definedName name="COLDVSNA_TARIFF_E_COLDVSNA_DEL_HL_FLAG_DIFF_COLUMN_MARKER">'ХВС. Т-подкл'!$P$38</definedName>
    <definedName name="COLDVSNA_TARIFF_E_COLDVSNA_DEL_HL_GC_COLUMN_MARKER">'ХВС. Т-подкл'!$Q$38</definedName>
    <definedName name="COLDVSNA_TARIFF_E_COLDVSNA_DEL_HL_LEN_COLUMN_MARKER">'ХВС. Т-подкл'!$AM$38</definedName>
    <definedName name="COLDVSNA_TARIFF_E_COLDVSNA_DEL_HL_LOAD_COLUMN_MARKER">'ХВС. Т-подкл'!$AE$38</definedName>
    <definedName name="COLDVSNA_TARIFF_E_COLDVSNA_DEL_HL_NETS_COLUMN_MARKER">'ХВС. Т-подкл'!$AQ$38</definedName>
    <definedName name="COLDVSNA_TARIFF_E_COLDVSNA_DELETE_PERIOD_ROW_MARKER">'ХВС. Т-подкл'!$O$39</definedName>
    <definedName name="COLDVSNA_TARIFF_E_COLDVSNA_FLAG_BLOCK_COLUMN_MARKER">'ХВС. Т-подкл'!$L$44</definedName>
    <definedName name="COLDVSNA_TARIFF_E_COLDVSNA_FLAG_BLOCK_ROW_MARKER">'ХВС. Т-подкл'!$O$24</definedName>
    <definedName name="COLDVSNA_TARIFF_E_COLDVSNA_NUM_CS_COLUMN_MARKER">'ХВС. Т-подкл'!$G$44</definedName>
    <definedName name="COLDVSNA_TARIFF_E_COLDVSNA_NUM_DATA_DIFF_COLUMN_MARKER">'ХВС. Т-подкл'!$K$44</definedName>
    <definedName name="COLDVSNA_TARIFF_E_COLDVSNA_NUM_DIAMETERS_COLUMN_MARKER">'ХВС. Т-подкл'!$AJ$38</definedName>
    <definedName name="COLDVSNA_TARIFF_E_COLDVSNA_NUM_FLAG_DIFF_COLUMN_MARKER">'ХВС. Т-подкл'!$I$44</definedName>
    <definedName name="COLDVSNA_TARIFF_E_COLDVSNA_NUM_GC_COLUMN_MARKER">'ХВС. Т-подкл'!$J$44</definedName>
    <definedName name="COLDVSNA_TARIFF_E_COLDVSNA_NUM_LEN_COLUMN_MARKER">'ХВС. Т-подкл'!$AN$38</definedName>
    <definedName name="COLDVSNA_TARIFF_E_COLDVSNA_NUM_LOAD_COLUMN_MARKER">'ХВС. Т-подкл'!$AF$38</definedName>
    <definedName name="COLDVSNA_TARIFF_E_COLDVSNA_NUM_NETS_COLUMN_MARKER">'ХВС. Т-подкл'!$AR$38</definedName>
    <definedName name="COLDVSNA_TARIFF_E_COLDVSNA_NUM_NTAR_COLUMN_MARKER">'ХВС. Т-подкл'!$E$44</definedName>
    <definedName name="COLDVSNA_TARIFF_E_COLDVSNA_NUM_TER_COLUMN_MARKER">'ХВС. Т-подкл'!$F$44</definedName>
    <definedName name="cross_without_borders">TEHSHEET!$J$27</definedName>
    <definedName name="CS_ID">TEHSHEET!$E$63</definedName>
    <definedName name="CURRENT_DATE">TEHSHEET!$H$29</definedName>
    <definedName name="CURRENT_YEAR">TEHSHEET!$G$44</definedName>
    <definedName name="DATA_URL">TEHSHEET!$H$32</definedName>
    <definedName name="DIFFERENTIATION_AREA">Дифференциация!$I$12:$I$16</definedName>
    <definedName name="DIFFERENTIATION_AREA_ID">Дифференциация!$U$11:$U$17</definedName>
    <definedName name="DIFFERENTIATION_CheckC">Дифференциация!$D$12:$M$16</definedName>
    <definedName name="DIFFERENTIATION_fieldMarker">Дифференциация!$W$12:$W$16</definedName>
    <definedName name="DIFFERENTIATION_ID">TEHSHEET!$E$57</definedName>
    <definedName name="DIFFERENTIATION_ID_DIFF">Дифференциация!$O$12:$O$16</definedName>
    <definedName name="DIFFERENTIATION_SYSTEM">Дифференциация!$M$12:$M$16</definedName>
    <definedName name="DIFFERENTIATION_TARIFF_AREA_ID">'Перечень тарифов'!$Z$12:$Z$137</definedName>
    <definedName name="DIFFERENTIATION_TARIFF_VD_ID">'Перечень тарифов'!$AB$12:$AB$137</definedName>
    <definedName name="DIFFERENTIATION_TARIFF_VTAR_ID">'Перечень тарифов'!$AA$12:$AA$137</definedName>
    <definedName name="DIFFERENTIATION_TKO_ADD_HL_CLASS_TKO_COLUMN_MARKER">'Дифференциация тариф показатель'!$AH$7</definedName>
    <definedName name="DIFFERENTIATION_TKO_ADD_HL_NTAR_COLUMN_MARKER">'Дифференциация тариф показатель'!$J$7</definedName>
    <definedName name="DIFFERENTIATION_TKO_ADD_HL_TER_COLUMN_MARKER">'Дифференциация тариф показатель'!$V$7</definedName>
    <definedName name="DIFFERENTIATION_TKO_ADD_HL_TO_COLUMN_MARKER">'Дифференциация тариф показатель'!$P$7</definedName>
    <definedName name="DIFFERENTIATION_TKO_ADD_HL_TYPE_TKO_COLUMN_MARKER">'Дифференциация тариф показатель'!$AB$7</definedName>
    <definedName name="DIFFERENTIATION_TKO_ADD_HL_VTAR_COLUMN_MARKER">'Дифференциация тариф показатель'!$F$7</definedName>
    <definedName name="DIFFERENTIATION_TKO_AREA_ID">'Дифференциация тариф показатель'!$AK$11:$AK$41</definedName>
    <definedName name="DIFFERENTIATION_TKO_DEL_HL_CLASS_TKO_COLUMN_MARKER">'Дифференциация тариф показатель'!$AF$7</definedName>
    <definedName name="DIFFERENTIATION_TKO_DEL_HL_NTAR_COLUMN_MARKER">'Дифференциация тариф показатель'!$H$7</definedName>
    <definedName name="DIFFERENTIATION_TKO_DEL_HL_TER_COLUMN_MARKER">'Дифференциация тариф показатель'!$T$7</definedName>
    <definedName name="DIFFERENTIATION_TKO_DEL_HL_TO_COLUMN_MARKER">'Дифференциация тариф показатель'!$N$7</definedName>
    <definedName name="DIFFERENTIATION_TKO_DEL_HL_TYPE_TKO_COLUMN_MARKER">'Дифференциация тариф показатель'!$Z$7</definedName>
    <definedName name="DIFFERENTIATION_TKO_FLAG_DIFF_CLASS_TKO_ETC_COLUMN_MARKER">'Дифференциация тариф показатель'!$AE$7</definedName>
    <definedName name="DIFFERENTIATION_TKO_FLAG_DIFF_CLASS_TKO_TARIFF_COLUMN_MARKER">'Дифференциация тариф показатель'!$AD$7</definedName>
    <definedName name="DIFFERENTIATION_TKO_FLAG_DIFF_TER_ETC_COLUMN_MARKER">'Дифференциация тариф показатель'!$S$7</definedName>
    <definedName name="DIFFERENTIATION_TKO_FLAG_DIFF_TER_TARIFF_COLUMN_MARKER">'Дифференциация тариф показатель'!$R$7</definedName>
    <definedName name="DIFFERENTIATION_TKO_FLAG_DIFF_TO_ETC_COLUMN_MARKER">'Дифференциация тариф показатель'!$M$7</definedName>
    <definedName name="DIFFERENTIATION_TKO_FLAG_DIFF_TO_TARIFF_COLUMN_MARKER">'Дифференциация тариф показатель'!$L$7</definedName>
    <definedName name="DIFFERENTIATION_TKO_FLAG_DIFF_TYPE_TKO_ETC_COLUMN_MARKER">'Дифференциация тариф показатель'!$Y$7</definedName>
    <definedName name="DIFFERENTIATION_TKO_FLAG_DIFF_TYPE_TKO_TARIFF_COLUMN_MARKER">'Дифференциация тариф показатель'!$X$7</definedName>
    <definedName name="DIFFERENTIATION_TKO_FLAG_VTAR_COLUMN_MARKER">'Дифференциация тариф показатель'!$G$7</definedName>
    <definedName name="DIFFERENTIATION_TKO_TER_ID">'Дифференциация тариф показатель'!$AL$11:$AL$41</definedName>
    <definedName name="DIFFERENTIATION_UNMERGE_AREA">Дифференциация!$Q$12:$Q$16</definedName>
    <definedName name="DIFFERENTIATION_UNMERGE_SYSTEM">Дифференциация!$R$12:$R$16</definedName>
    <definedName name="DIFFERENTIATION_UNMERGE_VD">Дифференциация!$P$12:$P$16</definedName>
    <definedName name="DIFFERENTIATION_VD">Дифференциация!$E$12:$E$16</definedName>
    <definedName name="DIFFERENTIATION_VD_ID">Дифференциация!$V$11:$V$17</definedName>
    <definedName name="ED_DATE">ЭД!$G$12:$G$13</definedName>
    <definedName name="ED_DATE_PARKING">ЭД!$I$5</definedName>
    <definedName name="ED_LINK">ЭД!$H$12:$H$13</definedName>
    <definedName name="EndDateList">TEHSHEET!$H$46:$H$53</definedName>
    <definedName name="et_B_FHD20_1_HEAT">et_union_hor!$127:$135</definedName>
    <definedName name="et_B_FHD20_1_NOT_HEAT">et_union_hor!$115:$123</definedName>
    <definedName name="et_B_FHD20_2">et_union_hor!$139:$142</definedName>
    <definedName name="et_B_FHD20_3">et_union_hor!$147:$148</definedName>
    <definedName name="et_B_FHD20_4">et_union_hor!$150:$150</definedName>
    <definedName name="et_B_STANDARTS">'Стандарты качества'!$2:$2</definedName>
    <definedName name="et_CHANGE_INFO">et_union_hor!$4:$4</definedName>
    <definedName name="et_COLDVSNA_TARIFF_A_COLDVSNA_CS">'ХВС. Т-пит'!$4:$11</definedName>
    <definedName name="et_COLDVSNA_TARIFF_A_COLDVSNA_DATA_DIFF">'ХВС. Т-пит'!$7:$8</definedName>
    <definedName name="et_COLDVSNA_TARIFF_A_COLDVSNA_FLAG_DIFF">'ХВС. Т-пит'!$5:$10</definedName>
    <definedName name="et_COLDVSNA_TARIFF_A_COLDVSNA_GC">'ХВС. Т-пит'!$6:$9</definedName>
    <definedName name="et_COLDVSNA_TARIFF_A_COLDVSNA_NTAR">'ХВС. Т-пит'!$2:$13</definedName>
    <definedName name="et_COLDVSNA_TARIFF_A_COLDVSNA_PERIOD_COLOR">'ХВС. Т-пит'!$AC$7:$AI$8</definedName>
    <definedName name="et_COLDVSNA_TARIFF_A_COLDVSNA_PERIOD_NOT_COLOR">'ХВС. Т-пит'!$AC$15:$AI$16</definedName>
    <definedName name="et_COLDVSNA_TARIFF_A_COLDVSNA_TER">'ХВС. Т-пит'!$3:$12</definedName>
    <definedName name="et_COLDVSNA_TARIFF_A_COLDVSNA_TN">'ХВС. Т-пит'!$7:$8</definedName>
    <definedName name="et_COLDVSNA_TARIFF_B_COLDVSNA_CS">'ХВС. Т-тех'!$4:$11</definedName>
    <definedName name="et_COLDVSNA_TARIFF_B_COLDVSNA_DATA_DIFF">'ХВС. Т-тех'!$7:$8</definedName>
    <definedName name="et_COLDVSNA_TARIFF_B_COLDVSNA_FLAG_DIFF">'ХВС. Т-тех'!$5:$10</definedName>
    <definedName name="et_COLDVSNA_TARIFF_B_COLDVSNA_GC">'ХВС. Т-тех'!$6:$9</definedName>
    <definedName name="et_COLDVSNA_TARIFF_B_COLDVSNA_NTAR">'ХВС. Т-тех'!$2:$13</definedName>
    <definedName name="et_COLDVSNA_TARIFF_B_COLDVSNA_PERIOD_COLOR">'ХВС. Т-тех'!$AC$7:$AI$8</definedName>
    <definedName name="et_COLDVSNA_TARIFF_B_COLDVSNA_PERIOD_NOT_COLOR">'ХВС. Т-тех'!$AC$15:$AI$16</definedName>
    <definedName name="et_COLDVSNA_TARIFF_B_COLDVSNA_TER">'ХВС. Т-тех'!$3:$12</definedName>
    <definedName name="et_COLDVSNA_TARIFF_C_COLDVSNA_CS">'ХВС. Т-транс'!$4:$11</definedName>
    <definedName name="et_COLDVSNA_TARIFF_C_COLDVSNA_DATA_DIFF">'ХВС. Т-транс'!$7:$8</definedName>
    <definedName name="et_COLDVSNA_TARIFF_C_COLDVSNA_FLAG_DIFF">'ХВС. Т-транс'!$5:$10</definedName>
    <definedName name="et_COLDVSNA_TARIFF_C_COLDVSNA_GC">'ХВС. Т-транс'!$6:$9</definedName>
    <definedName name="et_COLDVSNA_TARIFF_C_COLDVSNA_NTAR">'ХВС. Т-транс'!$2:$13</definedName>
    <definedName name="et_COLDVSNA_TARIFF_C_COLDVSNA_PERIOD_COLOR">'ХВС. Т-транс'!$AC$7:$AI$8</definedName>
    <definedName name="et_COLDVSNA_TARIFF_C_COLDVSNA_PERIOD_NOT_COLOR">'ХВС. Т-транс'!$AC$15:$AI$16</definedName>
    <definedName name="et_COLDVSNA_TARIFF_C_COLDVSNA_TER">'ХВС. Т-транс'!$3:$12</definedName>
    <definedName name="et_COLDVSNA_TARIFF_D_COLDVSNA_CS">'ХВС. Т-подвоз'!$4:$11</definedName>
    <definedName name="et_COLDVSNA_TARIFF_D_COLDVSNA_DATA_DIFF">'ХВС. Т-подвоз'!$7:$8</definedName>
    <definedName name="et_COLDVSNA_TARIFF_D_COLDVSNA_FLAG_DIFF">'ХВС. Т-подвоз'!$5:$10</definedName>
    <definedName name="et_COLDVSNA_TARIFF_D_COLDVSNA_GC">'ХВС. Т-подвоз'!$6:$9</definedName>
    <definedName name="et_COLDVSNA_TARIFF_D_COLDVSNA_NTAR">'ХВС. Т-подвоз'!$2:$13</definedName>
    <definedName name="et_COLDVSNA_TARIFF_D_COLDVSNA_PERIOD_COLOR">'ХВС. Т-подвоз'!$AC$7:$AI$8</definedName>
    <definedName name="et_COLDVSNA_TARIFF_D_COLDVSNA_PERIOD_NOT_COLOR">'ХВС. Т-подвоз'!$AC$15:$AI$16</definedName>
    <definedName name="et_COLDVSNA_TARIFF_D_COLDVSNA_TER">'ХВС. Т-подвоз'!$3:$12</definedName>
    <definedName name="et_COLDVSNA_TARIFF_E_COLDVSNA_CS">'ХВС. Т-подкл'!$4:$16</definedName>
    <definedName name="et_COLDVSNA_TARIFF_E_COLDVSNA_DATA_DIFF">'ХВС. Т-подкл'!$8:$12</definedName>
    <definedName name="et_COLDVSNA_TARIFF_E_COLDVSNA_DIAMETERS">'ХВС. Т-подкл'!$8:$10</definedName>
    <definedName name="et_COLDVSNA_TARIFF_E_COLDVSNA_FLAG_DIFF">'ХВС. Т-подкл'!$6:$14</definedName>
    <definedName name="et_COLDVSNA_TARIFF_E_COLDVSNA_GC">'ХВС. Т-подкл'!$7:$13</definedName>
    <definedName name="et_COLDVSNA_TARIFF_E_COLDVSNA_LEN">'ХВС. Т-подкл'!$8:$9</definedName>
    <definedName name="et_COLDVSNA_TARIFF_E_COLDVSNA_LOAD">'ХВС. Т-подкл'!$8:$11</definedName>
    <definedName name="et_COLDVSNA_TARIFF_E_COLDVSNA_NETS">'ХВС. Т-подкл'!$8:$8</definedName>
    <definedName name="et_COLDVSNA_TARIFF_E_COLDVSNA_NTAR">'ХВС. Т-подкл'!$2:$18</definedName>
    <definedName name="et_COLDVSNA_TARIFF_E_COLDVSNA_PERIOD_COLOR">'ХВС. Т-подкл'!$AT$8:$BA$8</definedName>
    <definedName name="et_COLDVSNA_TARIFF_E_COLDVSNA_PERIOD_NOT_COLOR">'ХВС. Т-подкл'!$AT$20:$BA$20</definedName>
    <definedName name="et_COLDVSNA_TARIFF_E_COLDVSNA_TER">'ХВС. Т-подкл'!$3:$17</definedName>
    <definedName name="et_Comm">et_union_hor!$8:$8</definedName>
    <definedName name="et_DIFFERENTIATION_AREA">et_union_hor!$29:$30</definedName>
    <definedName name="et_DIFFERENTIATION_SYSTEM">et_union_hor!$34:$34</definedName>
    <definedName name="et_DIFFERENTIATION_TARIFF_COLOR">et_union_hor!$H$154:$W$158</definedName>
    <definedName name="et_DIFFERENTIATION_TARIFF_CS">et_union_hor!$169:$170</definedName>
    <definedName name="et_DIFFERENTIATION_TARIFF_IST_TE">et_union_hor!$172:$172</definedName>
    <definedName name="et_DIFFERENTIATION_TARIFF_NOT_COLOR">et_union_hor!$H$194:$W$198</definedName>
    <definedName name="et_DIFFERENTIATION_TARIFF_NOT_HEAT_COLOR">et_union_hor!$H$176:$W$180</definedName>
    <definedName name="et_DIFFERENTIATION_TARIFF_NOT_HEAT_CS">et_union_hor!$191:$192</definedName>
    <definedName name="et_DIFFERENTIATION_TARIFF_NOT_HEAT_NTAR">et_union_hor!$182:$185</definedName>
    <definedName name="et_DIFFERENTIATION_TARIFF_NOT_HEAT_TER">et_union_hor!$187:$189</definedName>
    <definedName name="et_DIFFERENTIATION_TARIFF_NOT_HEAT_VTAR">et_union_hor!$176:$180</definedName>
    <definedName name="et_DIFFERENTIATION_TARIFF_NTAR">et_union_hor!$160:$163</definedName>
    <definedName name="et_DIFFERENTIATION_TARIFF_TER">et_union_hor!$165:$167</definedName>
    <definedName name="et_DIFFERENTIATION_TARIFF_VTAR">et_union_hor!$154:$158</definedName>
    <definedName name="et_DIFFERENTIATION_TKO_CLASS_TKO">et_union_hor!$202:$202</definedName>
    <definedName name="et_DIFFERENTIATION_TKO_COLOR">et_union_hor!$H$202:$AI$207</definedName>
    <definedName name="et_DIFFERENTIATION_TKO_NOT_COLOR">et_union_hor!$H$209:$AI$214</definedName>
    <definedName name="et_DIFFERENTIATION_TKO_NTAR">et_union_hor!$202:$206</definedName>
    <definedName name="et_DIFFERENTIATION_TKO_TER">et_union_hor!$202:$204</definedName>
    <definedName name="et_DIFFERENTIATION_TKO_TO">et_union_hor!$202:$205</definedName>
    <definedName name="et_DIFFERENTIATION_TKO_TYPE_TKO">et_union_hor!$202:$203</definedName>
    <definedName name="et_DIFFERENTIATION_TKO_VTAR">et_union_hor!$202:$207</definedName>
    <definedName name="et_DIFFERENTIATION_VD">et_union_hor!$23:$25</definedName>
    <definedName name="et_ED">et_union_hor!$64:$64</definedName>
    <definedName name="et_HEAT_TARIFF_A_CS">'ТС. Т-ТЭ | &gt;=25МВт'!$4:$13</definedName>
    <definedName name="et_HEAT_TARIFF_A_GC">'ТС. Т-ТЭ | &gt;=25МВт'!$7:$10</definedName>
    <definedName name="et_HEAT_TARIFF_A_IST_TE">'ТС. Т-ТЭ | &gt;=25МВт'!$5:$12</definedName>
    <definedName name="et_HEAT_TARIFF_A_NTAR">'ТС. Т-ТЭ | &gt;=25МВт'!$2:$15</definedName>
    <definedName name="et_HEAT_TARIFF_A_PERIOD_COLOR">'ТС. Т-ТЭ | &gt;=25МВт'!$AD$8:$AK$9</definedName>
    <definedName name="et_HEAT_TARIFF_A_PERIOD_NOT_COLOR">'ТС. Т-ТЭ | &gt;=25МВт'!$AD$17:$AK$18</definedName>
    <definedName name="et_HEAT_TARIFF_A_SCHEME">'ТС. Т-ТЭ | &gt;=25МВт'!$6:$11</definedName>
    <definedName name="et_HEAT_TARIFF_A_TER">'ТС. Т-ТЭ | &gt;=25МВт'!$3:$14</definedName>
    <definedName name="et_HEAT_TARIFF_A_TN">'ТС. Т-ТЭ | &gt;=25МВт'!$8:$9</definedName>
    <definedName name="et_HEAT_TARIFF_B_CS">'ТС. Т-ТЭ | ТСО'!$4:$13</definedName>
    <definedName name="et_HEAT_TARIFF_B_GC">'ТС. Т-ТЭ | ТСО'!$7:$10</definedName>
    <definedName name="et_HEAT_TARIFF_B_IST_TE">'ТС. Т-ТЭ | ТСО'!$5:$12</definedName>
    <definedName name="et_HEAT_TARIFF_B_NTAR">'ТС. Т-ТЭ | ТСО'!$2:$15</definedName>
    <definedName name="et_HEAT_TARIFF_B_PERIOD_COLOR">'ТС. Т-ТЭ | ТСО'!$AD$8:$AK$9</definedName>
    <definedName name="et_HEAT_TARIFF_B_PERIOD_NOT_COLOR">'ТС. Т-ТЭ | ТСО'!$AD$17:$AK$18</definedName>
    <definedName name="et_HEAT_TARIFF_B_SCHEME">'ТС. Т-ТЭ | ТСО'!$6:$11</definedName>
    <definedName name="et_HEAT_TARIFF_B_TER">'ТС. Т-ТЭ | ТСО'!$3:$14</definedName>
    <definedName name="et_HEAT_TARIFF_B_TN">'ТС. Т-ТЭ | ТСО'!$8:$9</definedName>
    <definedName name="et_HEAT_TARIFF_C_CS">'ТС. Т-ТН'!$4:$13</definedName>
    <definedName name="et_HEAT_TARIFF_C_GC">'ТС. Т-ТН'!$7:$10</definedName>
    <definedName name="et_HEAT_TARIFF_C_IST_TE">'ТС. Т-ТН'!$5:$12</definedName>
    <definedName name="et_HEAT_TARIFF_C_NTAR">'ТС. Т-ТН'!$2:$15</definedName>
    <definedName name="et_HEAT_TARIFF_C_PERIOD_COLOR">'ТС. Т-ТН'!$AD$8:$AK$9</definedName>
    <definedName name="et_HEAT_TARIFF_C_PERIOD_NOT_COLOR">'ТС. Т-ТН'!$AD$17:$AK$18</definedName>
    <definedName name="et_HEAT_TARIFF_C_SCHEME">'ТС. Т-ТН'!$6:$11</definedName>
    <definedName name="et_HEAT_TARIFF_C_TER">'ТС. Т-ТН'!$3:$14</definedName>
    <definedName name="et_HEAT_TARIFF_C_TN">'ТС. Т-ТН'!$8:$9</definedName>
    <definedName name="et_HEAT_TARIFF_D_CONS">'ТС. Т-гор.вода'!$9:$10</definedName>
    <definedName name="et_HEAT_TARIFF_D_CS">'ТС. Т-гор.вода'!$4:$15</definedName>
    <definedName name="et_HEAT_TARIFF_D_GC">'ТС. Т-гор.вода'!$7:$12</definedName>
    <definedName name="et_HEAT_TARIFF_D_IST_TE">'ТС. Т-гор.вода'!$5:$14</definedName>
    <definedName name="et_HEAT_TARIFF_D_NTAR">'ТС. Т-гор.вода'!$2:$17</definedName>
    <definedName name="et_HEAT_TARIFF_D_PERIOD_COLOR">'ТС. Т-гор.вода'!$AG$8:$AO$10</definedName>
    <definedName name="et_HEAT_TARIFF_D_PERIOD_NOT_COLOR">'ТС. Т-гор.вода'!$AG$19:$AO$22</definedName>
    <definedName name="et_HEAT_TARIFF_D_SCHEME">'ТС. Т-гор.вода'!$6:$13</definedName>
    <definedName name="et_HEAT_TARIFF_D_TER">'ТС. Т-гор.вода'!$3:$16</definedName>
    <definedName name="et_HEAT_TARIFF_D_TN">'ТС. Т-гор.вода'!$8:$11</definedName>
    <definedName name="et_HEAT_TARIFF_E1_CS">'ТС. Т-передача ТЭ'!$4:$13</definedName>
    <definedName name="et_HEAT_TARIFF_E1_GC">'ТС. Т-передача ТЭ'!$7:$10</definedName>
    <definedName name="et_HEAT_TARIFF_E1_IST_TE">'ТС. Т-передача ТЭ'!$5:$12</definedName>
    <definedName name="et_HEAT_TARIFF_E1_NTAR">'ТС. Т-передача ТЭ'!$2:$15</definedName>
    <definedName name="et_HEAT_TARIFF_E1_PERIOD_COLOR">'ТС. Т-передача ТЭ'!$AD$8:$AK$9</definedName>
    <definedName name="et_HEAT_TARIFF_E1_PERIOD_NOT_COLOR">'ТС. Т-передача ТЭ'!$AD$17:$AK$18</definedName>
    <definedName name="et_HEAT_TARIFF_E1_SCHEME">'ТС. Т-передача ТЭ'!$6:$11</definedName>
    <definedName name="et_HEAT_TARIFF_E1_TER">'ТС. Т-передача ТЭ'!$3:$14</definedName>
    <definedName name="et_HEAT_TARIFF_E1_TN">'ТС. Т-передача ТЭ'!$8:$9</definedName>
    <definedName name="et_HEAT_TARIFF_E2_CS">'ТС. Т-передача ТН'!$4:$13</definedName>
    <definedName name="et_HEAT_TARIFF_E2_GC">'ТС. Т-передача ТН'!$7:$10</definedName>
    <definedName name="et_HEAT_TARIFF_E2_IST_TE">'ТС. Т-передача ТН'!$5:$12</definedName>
    <definedName name="et_HEAT_TARIFF_E2_NTAR">'ТС. Т-передача ТН'!$2:$15</definedName>
    <definedName name="et_HEAT_TARIFF_E2_PERIOD_COLOR">'ТС. Т-передача ТН'!$AD$8:$AK$9</definedName>
    <definedName name="et_HEAT_TARIFF_E2_PERIOD_NOT_COLOR">'ТС. Т-передача ТН'!$AD$17:$AK$18</definedName>
    <definedName name="et_HEAT_TARIFF_E2_SCHEME">'ТС. Т-передача ТН'!$6:$11</definedName>
    <definedName name="et_HEAT_TARIFF_E2_TER">'ТС. Т-передача ТН'!$3:$14</definedName>
    <definedName name="et_HEAT_TARIFF_E2_TN">'ТС. Т-передача ТН'!$8:$9</definedName>
    <definedName name="et_HEAT_TARIFF_F_CS">'ТС. Резерв мощности'!$4:$13</definedName>
    <definedName name="et_HEAT_TARIFF_F_GC">'ТС. Резерв мощности'!$7:$10</definedName>
    <definedName name="et_HEAT_TARIFF_F_IST_TE">'ТС. Резерв мощности'!$5:$12</definedName>
    <definedName name="et_HEAT_TARIFF_F_NTAR">'ТС. Резерв мощности'!$2:$15</definedName>
    <definedName name="et_HEAT_TARIFF_F_PERIOD_COLOR">'ТС. Резерв мощности'!$AD$8:$AK$9</definedName>
    <definedName name="et_HEAT_TARIFF_F_PERIOD_NOT_COLOR">'ТС. Резерв мощности'!$AD$17:$AK$18</definedName>
    <definedName name="et_HEAT_TARIFF_F_SCHEME">'ТС. Резерв мощности'!$6:$11</definedName>
    <definedName name="et_HEAT_TARIFF_F_TER">'ТС. Резерв мощности'!$3:$14</definedName>
    <definedName name="et_HEAT_TARIFF_F_TN">'ТС. Резерв мощности'!$8:$9</definedName>
    <definedName name="et_HEAT_TARIFF_G_CS">'ТС. Т-подкл'!$4:$15</definedName>
    <definedName name="et_HEAT_TARIFF_G_DIAMETERS">'ТС. Т-подкл'!$8:$8</definedName>
    <definedName name="et_HEAT_TARIFF_G_GC">'ТС. Т-подкл'!$7:$12</definedName>
    <definedName name="et_HEAT_TARIFF_G_IST_TE">'ТС. Т-подкл'!$5:$14</definedName>
    <definedName name="et_HEAT_TARIFF_G_LOAD">'ТС. Т-подкл'!$8:$10</definedName>
    <definedName name="et_HEAT_TARIFF_G_NETS">'ТС. Т-подкл'!$8:$9</definedName>
    <definedName name="et_HEAT_TARIFF_G_NTAR">'ТС. Т-подкл'!$2:$17</definedName>
    <definedName name="et_HEAT_TARIFF_G_PERIOD_COLOR">'ТС. Т-подкл'!$AN$8:$AS$8</definedName>
    <definedName name="et_HEAT_TARIFF_G_PERIOD_NOT_COLOR">'ТС. Т-подкл'!$AN$19:$AS$19</definedName>
    <definedName name="et_HEAT_TARIFF_G_SCHEME">'ТС. Т-подкл'!$6:$13</definedName>
    <definedName name="et_HEAT_TARIFF_G_TER">'ТС. Т-подкл'!$3:$16</definedName>
    <definedName name="et_HEAT_TARIFF_G_TN">'ТС. Т-подкл'!$8:$11</definedName>
    <definedName name="et_HEAT_TARIFF_H_CS">'ТС. Т-подкл(инд)'!$4:$12</definedName>
    <definedName name="et_HEAT_TARIFF_H_DIAMETERS">'ТС. Т-подкл(инд)'!$8:$8</definedName>
    <definedName name="et_HEAT_TARIFF_H_GC">'ТС. Т-подкл(инд)'!$7:$9</definedName>
    <definedName name="et_HEAT_TARIFF_H_IST_TE">'ТС. Т-подкл(инд)'!$5:$11</definedName>
    <definedName name="et_HEAT_TARIFF_H_LOAD">'ТС. Т-подкл(инд)'!$8:$8</definedName>
    <definedName name="et_HEAT_TARIFF_H_NETS">'ТС. Т-подкл(инд)'!$8:$8</definedName>
    <definedName name="et_HEAT_TARIFF_H_NTAR">'ТС. Т-подкл(инд)'!$2:$14</definedName>
    <definedName name="et_HEAT_TARIFF_H_PERIOD_COLOR">'ТС. Т-подкл(инд)'!$AD$8:$AI$8</definedName>
    <definedName name="et_HEAT_TARIFF_H_PERIOD_NOT_COLOR">'ТС. Т-подкл(инд)'!$AD$16:$AI$16</definedName>
    <definedName name="et_HEAT_TARIFF_H_SCHEME">'ТС. Т-подкл(инд)'!$6:$10</definedName>
    <definedName name="et_HEAT_TARIFF_H_TER">'ТС. Т-подкл(инд)'!$3:$13</definedName>
    <definedName name="et_HEAT_TARIFF_H_TN">'ТС. Т-подкл(инд)'!$8:$8</definedName>
    <definedName name="et_HEAT_TARIFF_I_1_CS">'ТС. Т-ТЭ | индикат'!$4:$13</definedName>
    <definedName name="et_HEAT_TARIFF_I_1_GC">'ТС. Т-ТЭ | индикат'!$7:$10</definedName>
    <definedName name="et_HEAT_TARIFF_I_1_IST_TE">'ТС. Т-ТЭ | индикат'!$5:$12</definedName>
    <definedName name="et_HEAT_TARIFF_I_1_NTAR">'ТС. Т-ТЭ | индикат'!$2:$15</definedName>
    <definedName name="et_HEAT_TARIFF_I_1_PERIOD_COLOR">'ТС. Т-ТЭ | индикат'!$AD$8:$AK$9</definedName>
    <definedName name="et_HEAT_TARIFF_I_1_PERIOD_NOT_COLOR">'ТС. Т-ТЭ | индикат'!$AD$17:$AK$18</definedName>
    <definedName name="et_HEAT_TARIFF_I_1_SCHEME">'ТС. Т-ТЭ | индикат'!$6:$11</definedName>
    <definedName name="et_HEAT_TARIFF_I_1_TER">'ТС. Т-ТЭ | индикат'!$3:$14</definedName>
    <definedName name="et_HEAT_TARIFF_I_1_TN">'ТС. Т-ТЭ | индикат'!$8:$9</definedName>
    <definedName name="et_HEAT_TARIFF_I_CS">'ТС. Т-ТЭ | предел'!$4:$13</definedName>
    <definedName name="et_HEAT_TARIFF_I_GC">'ТС. Т-ТЭ | предел'!$7:$10</definedName>
    <definedName name="et_HEAT_TARIFF_I_IST_TE">'ТС. Т-ТЭ | предел'!$5:$12</definedName>
    <definedName name="et_HEAT_TARIFF_I_NTAR">'ТС. Т-ТЭ | предел'!$2:$15</definedName>
    <definedName name="et_HEAT_TARIFF_I_PERIOD_COLOR">'ТС. Т-ТЭ | предел'!$AD$8:$AK$9</definedName>
    <definedName name="et_HEAT_TARIFF_I_PERIOD_NOT_COLOR">'ТС. Т-ТЭ | предел'!$AD$17:$AK$18</definedName>
    <definedName name="et_HEAT_TARIFF_I_SCHEME">'ТС. Т-ТЭ | предел'!$6:$11</definedName>
    <definedName name="et_HEAT_TARIFF_I_TER">'ТС. Т-ТЭ | предел'!$3:$14</definedName>
    <definedName name="et_HEAT_TARIFF_I_TN">'ТС. Т-ТЭ | предел'!$8:$9</definedName>
    <definedName name="et_hor_B_FHD_1">'Показатели ФХД'!$2:$7</definedName>
    <definedName name="et_hor_B_FHD_2">'Показатели ФХД'!$9:$9</definedName>
    <definedName name="et_hor_B_FHD_3">'Показатели ФХД'!$11:$11</definedName>
    <definedName name="et_hor_B_FHD_4">'Показатели ФХД'!$13:$13</definedName>
    <definedName name="et_hor_B_FHD_5">'Показатели ФХД'!$15:$15</definedName>
    <definedName name="et_hor_B_FHD_6">'Показатели ФХД'!$17:$17</definedName>
    <definedName name="et_hor_B_FHD_TKO_2">'ТКО. Показатели ФХД'!$2:$2</definedName>
    <definedName name="et_hor_B_FHD_TKO_TRANS_2">'ТКО. Транс. Показатели ФХД'!$2:$2</definedName>
    <definedName name="et_hor_B_OTEP_2">'Показатели ОТЭП'!$2:$2</definedName>
    <definedName name="et_hor_Q_LIMIT_1">Ограничения!$3:$4</definedName>
    <definedName name="et_hor_Q_LIMIT_2">Ограничения!$6:$7</definedName>
    <definedName name="et_hor_Q_LIMIT_3">Ограничения!$9:$11</definedName>
    <definedName name="et_hor_Q_LIMIT_4">Ограничения!$13:$14</definedName>
    <definedName name="et_hor_Q_TP_1">ТП!$2:$2</definedName>
    <definedName name="et_HOTVSNA_TARIFF_A_HOTVSNA_CS">'ГВС. Т-гор.вода'!$4:$11</definedName>
    <definedName name="et_HOTVSNA_TARIFF_A_HOTVSNA_DATA_DIFF">'ГВС. Т-гор.вода'!$7:$8</definedName>
    <definedName name="et_HOTVSNA_TARIFF_A_HOTVSNA_FLAG_DIFF">'ГВС. Т-гор.вода'!$5:$10</definedName>
    <definedName name="et_HOTVSNA_TARIFF_A_HOTVSNA_GC">'ГВС. Т-гор.вода'!$6:$9</definedName>
    <definedName name="et_HOTVSNA_TARIFF_A_HOTVSNA_NTAR">'ГВС. Т-гор.вода'!$2:$13</definedName>
    <definedName name="et_HOTVSNA_TARIFF_A_HOTVSNA_PERIOD_COLOR">'ГВС. Т-гор.вода'!$AG$7:$AQ$8</definedName>
    <definedName name="et_HOTVSNA_TARIFF_A_HOTVSNA_PERIOD_NOT_COLOR">'ГВС. Т-гор.вода'!$AG$15:$AQ$16</definedName>
    <definedName name="et_HOTVSNA_TARIFF_A_HOTVSNA_TER">'ГВС. Т-гор.вода'!$3:$12</definedName>
    <definedName name="et_HOTVSNA_TARIFF_A_HOTVSNA_TN">'ГВС. Т-гор.вода'!$7:$8</definedName>
    <definedName name="et_HOTVSNA_TARIFF_B_HOTVSNA_CS">'ГВС. Т-транс'!$4:$11</definedName>
    <definedName name="et_HOTVSNA_TARIFF_B_HOTVSNA_DATA_DIFF">'ГВС. Т-транс'!$7:$8</definedName>
    <definedName name="et_HOTVSNA_TARIFF_B_HOTVSNA_FLAG_DIFF">'ГВС. Т-транс'!$5:$10</definedName>
    <definedName name="et_HOTVSNA_TARIFF_B_HOTVSNA_GC">'ГВС. Т-транс'!$6:$9</definedName>
    <definedName name="et_HOTVSNA_TARIFF_B_HOTVSNA_NTAR">'ГВС. Т-транс'!$2:$13</definedName>
    <definedName name="et_HOTVSNA_TARIFF_B_HOTVSNA_PERIOD_COLOR">'ГВС. Т-транс'!$AG$7:$AQ$8</definedName>
    <definedName name="et_HOTVSNA_TARIFF_B_HOTVSNA_PERIOD_NOT_COLOR">'ГВС. Т-транс'!$AG$15:$AQ$16</definedName>
    <definedName name="et_HOTVSNA_TARIFF_B_HOTVSNA_TER">'ГВС. Т-транс'!$3:$12</definedName>
    <definedName name="et_HOTVSNA_TARIFF_B_HOTVSNA_TN">'ГВС. Т-транс'!$7:$8</definedName>
    <definedName name="et_HOTVSNA_TARIFF_C_HOTVSNA_CS">'ГВС. Т-подкл'!$4:$16</definedName>
    <definedName name="et_HOTVSNA_TARIFF_C_HOTVSNA_DATA_DIFF">'ГВС. Т-подкл'!$8:$12</definedName>
    <definedName name="et_HOTVSNA_TARIFF_C_HOTVSNA_DIAMETERS">'ГВС. Т-подкл'!$8:$10</definedName>
    <definedName name="et_HOTVSNA_TARIFF_C_HOTVSNA_FLAG_DIFF">'ГВС. Т-подкл'!$6:$14</definedName>
    <definedName name="et_HOTVSNA_TARIFF_C_HOTVSNA_GC">'ГВС. Т-подкл'!$7:$13</definedName>
    <definedName name="et_HOTVSNA_TARIFF_C_HOTVSNA_LEN">'ГВС. Т-подкл'!$8:$9</definedName>
    <definedName name="et_HOTVSNA_TARIFF_C_HOTVSNA_LOAD">'ГВС. Т-подкл'!$8:$11</definedName>
    <definedName name="et_HOTVSNA_TARIFF_C_HOTVSNA_NETS">'ГВС. Т-подкл'!$8:$8</definedName>
    <definedName name="et_HOTVSNA_TARIFF_C_HOTVSNA_NTAR">'ГВС. Т-подкл'!$2:$18</definedName>
    <definedName name="et_HOTVSNA_TARIFF_C_HOTVSNA_PERIOD_COLOR">'ГВС. Т-подкл'!$AT$8:$BA$8</definedName>
    <definedName name="et_HOTVSNA_TARIFF_C_HOTVSNA_PERIOD_NOT_COLOR">'ГВС. Т-подкл'!$AT$20:$BA$20</definedName>
    <definedName name="et_HOTVSNA_TARIFF_C_HOTVSNA_TER">'ГВС. Т-подкл'!$3:$17</definedName>
    <definedName name="et_IP_DETAILED">et_union_hor!$81:$87</definedName>
    <definedName name="et_IP_DETAILED_EVENT">et_union_hor!$101:$105</definedName>
    <definedName name="et_IP_DETAILED_IST_FIN">et_union_hor!$97:$97</definedName>
    <definedName name="et_IP_DETAILED_OBJECT">et_union_hor!$91:$93</definedName>
    <definedName name="et_IP_DETAILED_YEAR">et_union_hor!$82:$87</definedName>
    <definedName name="et_IP_MAIN">et_union_hor!$72:$73</definedName>
    <definedName name="et_IP_MAIN_PROPERTY">et_union_hor!$77:$77</definedName>
    <definedName name="et_IP_QRE">et_union_hor!$109:$111</definedName>
    <definedName name="et_IP_QRE_CLAIM">et_union_hor!$110:$110</definedName>
    <definedName name="et_List02">et_union_hor!$154:$158</definedName>
    <definedName name="et_List02_1_wd">et_union_hor!$194:$197</definedName>
    <definedName name="et_List02_2_wd">et_union_hor!$194:$196</definedName>
    <definedName name="et_List02_3_wd">et_union_hor!$194:$195</definedName>
    <definedName name="et_List02_4_wd">et_union_hor!$194:$194</definedName>
    <definedName name="et_List02_changeColor_1">et_union_hor!$J$154:$J$157</definedName>
    <definedName name="et_List02_changeColor_1_wd">et_union_hor!$J$194:$J$197</definedName>
    <definedName name="et_List02_changeColor_2">et_union_hor!$N$154:$N$156</definedName>
    <definedName name="et_List02_changeColor_2_wd">et_union_hor!$N$194:$N$196</definedName>
    <definedName name="et_List02_changeColor_3">et_union_hor!$R$154:$R$155</definedName>
    <definedName name="et_List02_changeColor_3_wd">et_union_hor!$R$194:$R$195</definedName>
    <definedName name="et_List02_changeColor_4">et_union_hor!$V$154</definedName>
    <definedName name="et_List02_changeColor_4_wd">et_union_hor!$V$194</definedName>
    <definedName name="et_List02_wd">et_union_hor!$194:$198</definedName>
    <definedName name="et_OFFER_p1">Предложение!$8:$8</definedName>
    <definedName name="et_OFFER_p1_0">Предложение!$2:$3</definedName>
    <definedName name="et_OFFER_p2">Предложение!$10:$10</definedName>
    <definedName name="et_OFFER_p2_0">Предложение!$5:$6</definedName>
    <definedName name="et_ORG_INFO_1">et_union_hor!$39:$39</definedName>
    <definedName name="et_ORG_INFO_2">et_union_hor!$43:$43</definedName>
    <definedName name="et_ORG_INFO_3">et_union_hor!$47:$51</definedName>
    <definedName name="et_ORG_TERRITORY_MO">et_union_hor!$56:$56</definedName>
    <definedName name="et_ORG_TERRITORY_MO_FLAG_INTERNET">et_union_hor!$J$56</definedName>
    <definedName name="et_ORG_TERRITORY_MO_LINK">et_union_hor!$K$56</definedName>
    <definedName name="et_ORG_VD">et_union_hor!$60:$60</definedName>
    <definedName name="et_ORG_VD_COLDVSNA">et_union_hor!$X$60:$Z$60</definedName>
    <definedName name="et_ORG_VD_FIRST_SYSTEM">et_union_hor!$E$60</definedName>
    <definedName name="et_ORG_VD_HEAT">et_union_hor!$H$60:$R$60</definedName>
    <definedName name="et_ORG_VD_HOTVSNA">et_union_hor!$AB$60:$AC$60</definedName>
    <definedName name="et_ORG_VD_TKO_ACTIVITY">'Виды объектов'!$2:$3</definedName>
    <definedName name="et_ORG_VD_TKO_TYPE_OBJECT">'Виды объектов'!$2:$2</definedName>
    <definedName name="et_ORG_VD_VOTV">et_union_hor!$T$60:$V$60</definedName>
    <definedName name="et_P_PROCEDURE_TC_1">'Порядок ТП'!$2:$2</definedName>
    <definedName name="et_P_PROCEDURE_TC_2">'Порядок ТП'!$4:$4</definedName>
    <definedName name="et_P_PROCEDURE_TC_3">'Порядок ТП'!$6:$6</definedName>
    <definedName name="et_P_PROCEDURE_TC_4">'Порядок ТП'!$8:$8</definedName>
    <definedName name="et_P_PROCEDURE_TC_5">'Порядок ТП'!$10:$10</definedName>
    <definedName name="et_P_T_TERMS">et_union_hor!$68:$68</definedName>
    <definedName name="et_Q_TP_DIFFERENTIATION">ТП!$G:$G</definedName>
    <definedName name="et_QRE">et_union_hor!$109:$111</definedName>
    <definedName name="et_QRE_CLAIM">et_union_hor!$110:$110</definedName>
    <definedName name="et_R_B_Purch">'Сведения о закупках'!$2:$2</definedName>
    <definedName name="et_ROIV_CASE_case">'Дела об установлении тарифов'!$2:$2</definedName>
    <definedName name="et_ROIV_CASE_PUC_case">'Дела об утверждении ПУЦ'!$2:$2</definedName>
    <definedName name="et_ROIV_INFO_phone">'Орган регулирования'!$2:$2</definedName>
    <definedName name="et_ROIV_ORG_org">'Перечень организаций'!$2:$2</definedName>
    <definedName name="et_ROIV_OTV_DL">'Привлечение к ответственности'!$5:$5</definedName>
    <definedName name="et_ROIV_OTV_org">'Привлечение к ответственности'!$2:$3</definedName>
    <definedName name="et_TERMS">et_union_hor!$68:$68</definedName>
    <definedName name="et_TERRITORY_AREA">et_union_hor!$13:$15</definedName>
    <definedName name="et_TERRITORY_MO">et_union_hor!$19:$19</definedName>
    <definedName name="et_ver_B_FHD_DIFFERENTIATION">'Показатели ФХД'!$H:$H</definedName>
    <definedName name="et_ver_B_FHD_TKO_DIFFERENTIATION">'ТКО. Показатели ФХД'!$H:$H</definedName>
    <definedName name="et_ver_B_FHD_TKO_TRANS_DIFFERENTIATION">'ТКО. Транс. Показатели ФХД'!$H:$H</definedName>
    <definedName name="et_ver_B_KNE_DIFFERENTIATION">'Показатели КНЭ'!$G:$H</definedName>
    <definedName name="et_ver_B_OTEP_DIFFERENTIATION">'Показатели ОТЭП'!$L:$L</definedName>
    <definedName name="et_ver_COLDVSNA_TARIFF_A_COLDVSNA">'ХВС. Т-пит'!$V:$AB</definedName>
    <definedName name="et_ver_COLDVSNA_TARIFF_B_COLDVSNA">'ХВС. Т-тех'!$V:$AB</definedName>
    <definedName name="et_ver_COLDVSNA_TARIFF_C_COLDVSNA">'ХВС. Т-транс'!$V:$AB</definedName>
    <definedName name="et_ver_COLDVSNA_TARIFF_D_COLDVSNA">'ХВС. Т-подвоз'!$V:$AB</definedName>
    <definedName name="et_ver_COLDVSNA_TARIFF_E_COLDVSNA">'ХВС. Т-подкл'!$V:$AC</definedName>
    <definedName name="et_ver_HEAT_TARIFF_A">'ТС. Т-ТЭ | &gt;=25МВт'!$V:$AC</definedName>
    <definedName name="et_ver_HEAT_TARIFF_B">'ТС. Т-ТЭ | ТСО'!$V:$AC</definedName>
    <definedName name="et_ver_HEAT_TARIFF_C">'ТС. Т-ТН'!$V:$AC</definedName>
    <definedName name="et_ver_HEAT_TARIFF_D">'ТС. Т-гор.вода'!$X:$AF</definedName>
    <definedName name="et_ver_HEAT_TARIFF_E1">'ТС. Т-передача ТЭ'!$V:$AC</definedName>
    <definedName name="et_ver_HEAT_TARIFF_E2">'ТС. Т-передача ТН'!$V:$AC</definedName>
    <definedName name="et_ver_HEAT_TARIFF_F">'ТС. Резерв мощности'!$V:$AC</definedName>
    <definedName name="et_ver_HEAT_TARIFF_G">'ТС. Т-подкл'!$V:$AA</definedName>
    <definedName name="et_ver_HEAT_TARIFF_H">'ТС. Т-подкл(инд)'!$V:$AA</definedName>
    <definedName name="et_ver_HEAT_TARIFF_I">'ТС. Т-ТЭ | предел'!$V:$AC</definedName>
    <definedName name="et_ver_HEAT_TARIFF_I_1">'ТС. Т-ТЭ | индикат'!$V:$AC</definedName>
    <definedName name="et_ver_HOTVSNA_TARIFF_A_HOTVSNA">'ГВС. Т-гор.вода'!$V:$AF</definedName>
    <definedName name="et_ver_HOTVSNA_TARIFF_B_HOTVSNA">'ГВС. Т-транс'!$V:$AF</definedName>
    <definedName name="et_ver_HOTVSNA_TARIFF_C_HOTVSNA">'ГВС. Т-подкл'!$V:$AC</definedName>
    <definedName name="et_ver_IP_FIN_PLAN">'ИП. Финансовый план'!$H:$J</definedName>
    <definedName name="et_ver_IP_FIN_PLAN_YEAR">'ИП. Финансовый план'!$I:$I</definedName>
    <definedName name="et_ver_Q_LIMIT_DIFFERENTIATION">Ограничения!$G:$H</definedName>
    <definedName name="et_ver_Q_PH_DIFFERENTIATION">'Потребительские характеристики'!$G:$H</definedName>
    <definedName name="et_ver_Q_TP_DIFFERENTIATION">ТП!$G:$G</definedName>
    <definedName name="et_ver_VOTV_TARIFF_A_VOTV">'ВО. Т-во'!$V:$AB</definedName>
    <definedName name="et_ver_VOTV_TARIFF_B_VOTV">'ВО. Т-транс'!$V:$AB</definedName>
    <definedName name="et_ver_VOTV_TARIFF_C_VOTV">'ВО. Т-подкл'!$V:$AC</definedName>
    <definedName name="et_VOTV_TARIFF_A_VOTV_CS">'ВО. Т-во'!$4:$11</definedName>
    <definedName name="et_VOTV_TARIFF_A_VOTV_DATA_DIFF">'ВО. Т-во'!$7:$8</definedName>
    <definedName name="et_VOTV_TARIFF_A_VOTV_FLAG_DIFF">'ВО. Т-во'!$5:$10</definedName>
    <definedName name="et_VOTV_TARIFF_A_VOTV_GC">'ВО. Т-во'!$6:$9</definedName>
    <definedName name="et_VOTV_TARIFF_A_VOTV_NTAR">'ВО. Т-во'!$2:$13</definedName>
    <definedName name="et_VOTV_TARIFF_A_VOTV_PERIOD_COLOR">'ВО. Т-во'!$AC$7:$AI$8</definedName>
    <definedName name="et_VOTV_TARIFF_A_VOTV_PERIOD_NOT_COLOR">'ВО. Т-во'!$AC$15:$AI$16</definedName>
    <definedName name="et_VOTV_TARIFF_A_VOTV_TER">'ВО. Т-во'!$3:$12</definedName>
    <definedName name="et_VOTV_TARIFF_A_VOTV_TN">'ВО. Т-во'!$7:$8</definedName>
    <definedName name="et_VOTV_TARIFF_B_VOTV_CS">'ВО. Т-транс'!$4:$11</definedName>
    <definedName name="et_VOTV_TARIFF_B_VOTV_DATA_DIFF">'ВО. Т-транс'!$7:$8</definedName>
    <definedName name="et_VOTV_TARIFF_B_VOTV_FLAG_DIFF">'ВО. Т-транс'!$5:$10</definedName>
    <definedName name="et_VOTV_TARIFF_B_VOTV_GC">'ВО. Т-транс'!$6:$9</definedName>
    <definedName name="et_VOTV_TARIFF_B_VOTV_NTAR">'ВО. Т-транс'!$2:$13</definedName>
    <definedName name="et_VOTV_TARIFF_B_VOTV_PERIOD_COLOR">'ВО. Т-транс'!$AC$7:$AI$8</definedName>
    <definedName name="et_VOTV_TARIFF_B_VOTV_PERIOD_NOT_COLOR">'ВО. Т-транс'!$AC$15:$AI$16</definedName>
    <definedName name="et_VOTV_TARIFF_B_VOTV_TER">'ВО. Т-транс'!$3:$12</definedName>
    <definedName name="et_VOTV_TARIFF_B_VOTV_TN">'ВО. Т-транс'!$7:$8</definedName>
    <definedName name="et_VOTV_TARIFF_C_VOTV_CS">'ВО. Т-подкл'!$4:$16</definedName>
    <definedName name="et_VOTV_TARIFF_C_VOTV_DATA_DIFF">'ВО. Т-подкл'!$8:$12</definedName>
    <definedName name="et_VOTV_TARIFF_C_VOTV_DIAMETERS">'ВО. Т-подкл'!$8:$10</definedName>
    <definedName name="et_VOTV_TARIFF_C_VOTV_FLAG_DIFF">'ВО. Т-подкл'!$6:$14</definedName>
    <definedName name="et_VOTV_TARIFF_C_VOTV_GC">'ВО. Т-подкл'!$7:$13</definedName>
    <definedName name="et_VOTV_TARIFF_C_VOTV_LEN">'ВО. Т-подкл'!$8:$9</definedName>
    <definedName name="et_VOTV_TARIFF_C_VOTV_LOAD">'ВО. Т-подкл'!$8:$11</definedName>
    <definedName name="et_VOTV_TARIFF_C_VOTV_NETS">'ВО. Т-подкл'!$8:$8</definedName>
    <definedName name="et_VOTV_TARIFF_C_VOTV_NTAR">'ВО. Т-подкл'!$2:$18</definedName>
    <definedName name="et_VOTV_TARIFF_C_VOTV_PERIOD_COLOR">'ВО. Т-подкл'!$AT$8:$BA$8</definedName>
    <definedName name="et_VOTV_TARIFF_C_VOTV_PERIOD_NOT_COLOR">'ВО. Т-подкл'!$AT$20:$BA$20</definedName>
    <definedName name="et_VOTV_TARIFF_C_VOTV_TER">'ВО. Т-подкл'!$3:$17</definedName>
    <definedName name="f_quart">Титульный!$F$15</definedName>
    <definedName name="f_year">Титульный!$F$14</definedName>
    <definedName name="FHD_NAME_FORM">DATA_FORMS!$C$6</definedName>
    <definedName name="FHD_NOTE_P_1">DATA_NPA!$N$18</definedName>
    <definedName name="FHD_NOTE_P_10">DATA_NPA!$N$27</definedName>
    <definedName name="FHD_NOTE_P_11">DATA_NPA!$N$28</definedName>
    <definedName name="FHD_NOTE_P_12">DATA_NPA!$N$29</definedName>
    <definedName name="FHD_NOTE_P_13">DATA_NPA!$N$30</definedName>
    <definedName name="FHD_NOTE_P_14">DATA_NPA!$N$31</definedName>
    <definedName name="FHD_NOTE_P_15">DATA_NPA!$N$32</definedName>
    <definedName name="FHD_NOTE_P_16">DATA_NPA!$N$33</definedName>
    <definedName name="FHD_NOTE_P_17">DATA_NPA!$N$34</definedName>
    <definedName name="FHD_NOTE_P_18">DATA_NPA!$N$35</definedName>
    <definedName name="FHD_NOTE_P_19">DATA_NPA!$N$36</definedName>
    <definedName name="FHD_NOTE_P_2">DATA_NPA!$N$19</definedName>
    <definedName name="FHD_NOTE_P_20">DATA_NPA!$N$37</definedName>
    <definedName name="FHD_NOTE_P_21">DATA_NPA!$N$38</definedName>
    <definedName name="FHD_NOTE_P_22">DATA_NPA!$N$39</definedName>
    <definedName name="FHD_NOTE_P_23">DATA_NPA!$N$40</definedName>
    <definedName name="FHD_NOTE_P_24">DATA_NPA!$N$41</definedName>
    <definedName name="FHD_NOTE_P_25">DATA_NPA!$N$42</definedName>
    <definedName name="FHD_NOTE_P_26">DATA_NPA!$N$43</definedName>
    <definedName name="FHD_NOTE_P_27">DATA_NPA!$N$44</definedName>
    <definedName name="FHD_NOTE_P_28">DATA_NPA!$N$45</definedName>
    <definedName name="FHD_NOTE_P_29">DATA_NPA!$N$46</definedName>
    <definedName name="FHD_NOTE_P_3">DATA_NPA!$N$20</definedName>
    <definedName name="FHD_NOTE_P_30">DATA_NPA!$N$47</definedName>
    <definedName name="FHD_NOTE_P_31">DATA_NPA!$N$48</definedName>
    <definedName name="FHD_NOTE_P_32">DATA_NPA!$N$49</definedName>
    <definedName name="FHD_NOTE_P_33">DATA_NPA!$N$50</definedName>
    <definedName name="FHD_NOTE_P_34">DATA_NPA!$N$51</definedName>
    <definedName name="FHD_NOTE_P_35">DATA_NPA!$N$52</definedName>
    <definedName name="FHD_NOTE_P_36">DATA_NPA!$N$53</definedName>
    <definedName name="FHD_NOTE_P_37">DATA_NPA!$N$54</definedName>
    <definedName name="FHD_NOTE_P_38">DATA_NPA!$N$55</definedName>
    <definedName name="FHD_NOTE_P_39">DATA_NPA!$N$56</definedName>
    <definedName name="FHD_NOTE_P_4">DATA_NPA!$N$21</definedName>
    <definedName name="FHD_NOTE_P_40">DATA_NPA!$N$57</definedName>
    <definedName name="FHD_NOTE_P_41">DATA_NPA!$N$58</definedName>
    <definedName name="FHD_NOTE_P_42">DATA_NPA!$N$59</definedName>
    <definedName name="FHD_NOTE_P_43">DATA_NPA!$N$60</definedName>
    <definedName name="FHD_NOTE_P_44">DATA_NPA!$N$61</definedName>
    <definedName name="FHD_NOTE_P_45">DATA_NPA!$N$62</definedName>
    <definedName name="FHD_NOTE_P_46">DATA_NPA!$N$63</definedName>
    <definedName name="FHD_NOTE_P_47">DATA_NPA!$N$64</definedName>
    <definedName name="FHD_NOTE_P_48">DATA_NPA!$N$65</definedName>
    <definedName name="FHD_NOTE_P_49">DATA_NPA!$N$66</definedName>
    <definedName name="FHD_NOTE_P_5">DATA_NPA!$N$22</definedName>
    <definedName name="FHD_NOTE_P_50">DATA_NPA!$N$67</definedName>
    <definedName name="FHD_NOTE_P_51">DATA_NPA!$N$68</definedName>
    <definedName name="FHD_NOTE_P_52">DATA_NPA!$N$69</definedName>
    <definedName name="FHD_NOTE_P_53">DATA_NPA!$N$70</definedName>
    <definedName name="FHD_NOTE_P_54">DATA_NPA!$N$71</definedName>
    <definedName name="FHD_NOTE_P_55">DATA_NPA!$N$72</definedName>
    <definedName name="FHD_NOTE_P_56">DATA_NPA!$N$73</definedName>
    <definedName name="FHD_NOTE_P_57">DATA_NPA!$N$74</definedName>
    <definedName name="FHD_NOTE_P_58">DATA_NPA!$N$75</definedName>
    <definedName name="FHD_NOTE_P_59">DATA_NPA!$N$76</definedName>
    <definedName name="FHD_NOTE_P_6">DATA_NPA!$N$23</definedName>
    <definedName name="FHD_NOTE_P_60">DATA_NPA!$N$77</definedName>
    <definedName name="FHD_NOTE_P_61">DATA_NPA!$N$78</definedName>
    <definedName name="FHD_NOTE_P_62">DATA_NPA!$N$79</definedName>
    <definedName name="FHD_NOTE_P_63">DATA_NPA!$N$80</definedName>
    <definedName name="FHD_NOTE_P_64">DATA_NPA!$N$81</definedName>
    <definedName name="FHD_NOTE_P_65">DATA_NPA!$N$82</definedName>
    <definedName name="FHD_NOTE_P_66">DATA_NPA!$N$83</definedName>
    <definedName name="FHD_NOTE_P_67">DATA_NPA!$N$84</definedName>
    <definedName name="FHD_NOTE_P_68">DATA_NPA!$N$85</definedName>
    <definedName name="FHD_NOTE_P_69">DATA_NPA!$N$86</definedName>
    <definedName name="FHD_NOTE_P_7">DATA_NPA!$N$24</definedName>
    <definedName name="FHD_NOTE_P_70">DATA_NPA!$N$87</definedName>
    <definedName name="FHD_NOTE_P_71">DATA_NPA!$N$88</definedName>
    <definedName name="FHD_NOTE_P_72">DATA_NPA!$N$89</definedName>
    <definedName name="FHD_NOTE_P_73">DATA_NPA!$N$90</definedName>
    <definedName name="FHD_NOTE_P_74">DATA_NPA!$N$91</definedName>
    <definedName name="FHD_NOTE_P_75">DATA_NPA!$N$92</definedName>
    <definedName name="FHD_NOTE_P_76">DATA_NPA!$N$93</definedName>
    <definedName name="FHD_NOTE_P_77">DATA_NPA!$N$94</definedName>
    <definedName name="FHD_NOTE_P_78">DATA_NPA!$N$95</definedName>
    <definedName name="FHD_NOTE_P_79">DATA_NPA!$N$96</definedName>
    <definedName name="FHD_NOTE_P_8">DATA_NPA!$N$25</definedName>
    <definedName name="FHD_NOTE_P_80">DATA_NPA!$N$97</definedName>
    <definedName name="FHD_NOTE_P_81">DATA_NPA!$N$98</definedName>
    <definedName name="FHD_NOTE_P_82">DATA_NPA!$N$99</definedName>
    <definedName name="FHD_NOTE_P_83">DATA_NPA!$N$100</definedName>
    <definedName name="FHD_NOTE_P_84">DATA_NPA!$N$101</definedName>
    <definedName name="FHD_NOTE_P_9">DATA_NPA!$N$26</definedName>
    <definedName name="FHD_NUM_P_1">DATA_NPA!$L$18</definedName>
    <definedName name="FHD_NUM_P_10">DATA_NPA!$L$27</definedName>
    <definedName name="FHD_NUM_P_11">DATA_NPA!$L$28</definedName>
    <definedName name="FHD_NUM_P_12">DATA_NPA!$L$29</definedName>
    <definedName name="FHD_NUM_P_13">DATA_NPA!$L$30</definedName>
    <definedName name="FHD_NUM_P_14">DATA_NPA!$L$31</definedName>
    <definedName name="FHD_NUM_P_15">DATA_NPA!$L$32</definedName>
    <definedName name="FHD_NUM_P_16">DATA_NPA!$L$33</definedName>
    <definedName name="FHD_NUM_P_17">DATA_NPA!$L$34</definedName>
    <definedName name="FHD_NUM_P_18">DATA_NPA!$L$35</definedName>
    <definedName name="FHD_NUM_P_19">DATA_NPA!$L$36</definedName>
    <definedName name="FHD_NUM_P_2">DATA_NPA!$L$19</definedName>
    <definedName name="FHD_NUM_P_20">DATA_NPA!$L$37</definedName>
    <definedName name="FHD_NUM_P_21">DATA_NPA!$L$38</definedName>
    <definedName name="FHD_NUM_P_22">DATA_NPA!$L$39</definedName>
    <definedName name="FHD_NUM_P_23">DATA_NPA!$L$40</definedName>
    <definedName name="FHD_NUM_P_24">DATA_NPA!$L$41</definedName>
    <definedName name="FHD_NUM_P_25">DATA_NPA!$L$42</definedName>
    <definedName name="FHD_NUM_P_26">DATA_NPA!$L$43</definedName>
    <definedName name="FHD_NUM_P_27">DATA_NPA!$L$44</definedName>
    <definedName name="FHD_NUM_P_28">DATA_NPA!$L$45</definedName>
    <definedName name="FHD_NUM_P_29">DATA_NPA!$L$46</definedName>
    <definedName name="FHD_NUM_P_3">DATA_NPA!$L$20</definedName>
    <definedName name="FHD_NUM_P_30">DATA_NPA!$L$47</definedName>
    <definedName name="FHD_NUM_P_31">DATA_NPA!$L$48</definedName>
    <definedName name="FHD_NUM_P_32">DATA_NPA!$L$49</definedName>
    <definedName name="FHD_NUM_P_33">DATA_NPA!$L$50</definedName>
    <definedName name="FHD_NUM_P_34">DATA_NPA!$L$51</definedName>
    <definedName name="FHD_NUM_P_35">DATA_NPA!$L$52</definedName>
    <definedName name="FHD_NUM_P_36">DATA_NPA!$L$53</definedName>
    <definedName name="FHD_NUM_P_37">DATA_NPA!$L$54</definedName>
    <definedName name="FHD_NUM_P_38">DATA_NPA!$L$55</definedName>
    <definedName name="FHD_NUM_P_39">DATA_NPA!$L$56</definedName>
    <definedName name="FHD_NUM_P_4">DATA_NPA!$L$21</definedName>
    <definedName name="FHD_NUM_P_40">DATA_NPA!$L$57</definedName>
    <definedName name="FHD_NUM_P_41">DATA_NPA!$L$58</definedName>
    <definedName name="FHD_NUM_P_42">DATA_NPA!$L$59</definedName>
    <definedName name="FHD_NUM_P_43">DATA_NPA!$L$60</definedName>
    <definedName name="FHD_NUM_P_44">DATA_NPA!$L$61</definedName>
    <definedName name="FHD_NUM_P_45">DATA_NPA!$L$62</definedName>
    <definedName name="FHD_NUM_P_46">DATA_NPA!$L$63</definedName>
    <definedName name="FHD_NUM_P_47">DATA_NPA!$L$64</definedName>
    <definedName name="FHD_NUM_P_48">DATA_NPA!$L$65</definedName>
    <definedName name="FHD_NUM_P_49">DATA_NPA!$L$66</definedName>
    <definedName name="FHD_NUM_P_5">DATA_NPA!$L$22</definedName>
    <definedName name="FHD_NUM_P_50">DATA_NPA!$L$67</definedName>
    <definedName name="FHD_NUM_P_51">DATA_NPA!$L$68</definedName>
    <definedName name="FHD_NUM_P_52">DATA_NPA!$L$69</definedName>
    <definedName name="FHD_NUM_P_53">DATA_NPA!$L$70</definedName>
    <definedName name="FHD_NUM_P_54">DATA_NPA!$L$71</definedName>
    <definedName name="FHD_NUM_P_55">DATA_NPA!$L$72</definedName>
    <definedName name="FHD_NUM_P_56">DATA_NPA!$L$73</definedName>
    <definedName name="FHD_NUM_P_57">DATA_NPA!$L$74</definedName>
    <definedName name="FHD_NUM_P_58">DATA_NPA!$L$75</definedName>
    <definedName name="FHD_NUM_P_59">DATA_NPA!$L$76</definedName>
    <definedName name="FHD_NUM_P_6">DATA_NPA!$L$23</definedName>
    <definedName name="FHD_NUM_P_60">DATA_NPA!$L$77</definedName>
    <definedName name="FHD_NUM_P_61">DATA_NPA!$L$78</definedName>
    <definedName name="FHD_NUM_P_62">DATA_NPA!$L$79</definedName>
    <definedName name="FHD_NUM_P_63">DATA_NPA!$L$80</definedName>
    <definedName name="FHD_NUM_P_64">DATA_NPA!$L$81</definedName>
    <definedName name="FHD_NUM_P_65">DATA_NPA!$L$82</definedName>
    <definedName name="FHD_NUM_P_66">DATA_NPA!$L$83</definedName>
    <definedName name="FHD_NUM_P_67">DATA_NPA!$L$84</definedName>
    <definedName name="FHD_NUM_P_68">DATA_NPA!$L$85</definedName>
    <definedName name="FHD_NUM_P_69">DATA_NPA!$L$86</definedName>
    <definedName name="FHD_NUM_P_7">DATA_NPA!$L$24</definedName>
    <definedName name="FHD_NUM_P_70">DATA_NPA!$L$87</definedName>
    <definedName name="FHD_NUM_P_71">DATA_NPA!$L$88</definedName>
    <definedName name="FHD_NUM_P_72">DATA_NPA!$L$89</definedName>
    <definedName name="FHD_NUM_P_73">DATA_NPA!$L$90</definedName>
    <definedName name="FHD_NUM_P_74">DATA_NPA!$L$91</definedName>
    <definedName name="FHD_NUM_P_75">DATA_NPA!$L$92</definedName>
    <definedName name="FHD_NUM_P_76">DATA_NPA!$L$93</definedName>
    <definedName name="FHD_NUM_P_77">DATA_NPA!$L$94</definedName>
    <definedName name="FHD_NUM_P_78">DATA_NPA!$L$95</definedName>
    <definedName name="FHD_NUM_P_79">DATA_NPA!$L$96</definedName>
    <definedName name="FHD_NUM_P_8">DATA_NPA!$L$25</definedName>
    <definedName name="FHD_NUM_P_80">DATA_NPA!$L$97</definedName>
    <definedName name="FHD_NUM_P_81">DATA_NPA!$L$98</definedName>
    <definedName name="FHD_NUM_P_82">DATA_NPA!$L$99</definedName>
    <definedName name="FHD_NUM_P_83">DATA_NPA!$L$100</definedName>
    <definedName name="FHD_NUM_P_84">DATA_NPA!$L$101</definedName>
    <definedName name="FHD_NUM_P_9">DATA_NPA!$L$26</definedName>
    <definedName name="FHD_NUM_P_A">DATA_NPA!$L$18</definedName>
    <definedName name="FHD_P_1">DATA_NPA!$M$18</definedName>
    <definedName name="FHD_P_10">DATA_NPA!$M$27</definedName>
    <definedName name="FHD_P_11">DATA_NPA!$M$28</definedName>
    <definedName name="FHD_P_12">DATA_NPA!$M$29</definedName>
    <definedName name="FHD_P_13">DATA_NPA!$M$30</definedName>
    <definedName name="FHD_P_14">DATA_NPA!$M$31</definedName>
    <definedName name="FHD_P_15">DATA_NPA!$M$32</definedName>
    <definedName name="FHD_P_16">DATA_NPA!$M$33</definedName>
    <definedName name="FHD_P_17">DATA_NPA!$M$34</definedName>
    <definedName name="FHD_P_18">DATA_NPA!$M$35</definedName>
    <definedName name="FHD_P_19">DATA_NPA!$M$36</definedName>
    <definedName name="FHD_P_2">DATA_NPA!$M$19</definedName>
    <definedName name="FHD_P_20">DATA_NPA!$M$37</definedName>
    <definedName name="FHD_P_21">DATA_NPA!$M$38</definedName>
    <definedName name="FHD_P_22">DATA_NPA!$M$39</definedName>
    <definedName name="FHD_P_23">DATA_NPA!$M$40</definedName>
    <definedName name="FHD_P_24">DATA_NPA!$M$41</definedName>
    <definedName name="FHD_P_25">DATA_NPA!$M$42</definedName>
    <definedName name="FHD_P_26">DATA_NPA!$M$43</definedName>
    <definedName name="FHD_P_27">DATA_NPA!$M$44</definedName>
    <definedName name="FHD_P_28">DATA_NPA!$M$45</definedName>
    <definedName name="FHD_P_29">DATA_NPA!$M$46</definedName>
    <definedName name="FHD_P_3">DATA_NPA!$M$20</definedName>
    <definedName name="FHD_P_30">DATA_NPA!$M$47</definedName>
    <definedName name="FHD_P_31">DATA_NPA!$M$48</definedName>
    <definedName name="FHD_P_32">DATA_NPA!$M$49</definedName>
    <definedName name="FHD_P_33">DATA_NPA!$M$50</definedName>
    <definedName name="FHD_P_34">DATA_NPA!$M$51</definedName>
    <definedName name="FHD_P_35">DATA_NPA!$M$52</definedName>
    <definedName name="FHD_P_36">DATA_NPA!$M$53</definedName>
    <definedName name="FHD_P_37">DATA_NPA!$M$54</definedName>
    <definedName name="FHD_P_38">DATA_NPA!$M$55</definedName>
    <definedName name="FHD_P_39">DATA_NPA!$M$56</definedName>
    <definedName name="FHD_P_4">DATA_NPA!$M$21</definedName>
    <definedName name="FHD_P_40">DATA_NPA!$M$57</definedName>
    <definedName name="FHD_P_41">DATA_NPA!$M$58</definedName>
    <definedName name="FHD_P_42">DATA_NPA!$M$59</definedName>
    <definedName name="FHD_P_43">DATA_NPA!$M$60</definedName>
    <definedName name="FHD_P_44">DATA_NPA!$M$61</definedName>
    <definedName name="FHD_P_45">DATA_NPA!$M$62</definedName>
    <definedName name="FHD_P_46">DATA_NPA!$M$63</definedName>
    <definedName name="FHD_P_47">DATA_NPA!$M$64</definedName>
    <definedName name="FHD_P_48">DATA_NPA!$M$65</definedName>
    <definedName name="FHD_P_49">DATA_NPA!$M$66</definedName>
    <definedName name="FHD_P_5">DATA_NPA!$M$22</definedName>
    <definedName name="FHD_P_50">DATA_NPA!$M$67</definedName>
    <definedName name="FHD_P_51">DATA_NPA!$M$68</definedName>
    <definedName name="FHD_P_52">DATA_NPA!$M$69</definedName>
    <definedName name="FHD_P_53">DATA_NPA!$M$70</definedName>
    <definedName name="FHD_P_54">DATA_NPA!$M$71</definedName>
    <definedName name="FHD_P_55">DATA_NPA!$M$72</definedName>
    <definedName name="FHD_P_56">DATA_NPA!$M$73</definedName>
    <definedName name="FHD_P_57">DATA_NPA!$M$74</definedName>
    <definedName name="FHD_P_58">DATA_NPA!$M$75</definedName>
    <definedName name="FHD_P_59">DATA_NPA!$M$76</definedName>
    <definedName name="FHD_P_6">DATA_NPA!$M$23</definedName>
    <definedName name="FHD_P_60">DATA_NPA!$M$77</definedName>
    <definedName name="FHD_P_61">DATA_NPA!$M$78</definedName>
    <definedName name="FHD_P_62">DATA_NPA!$M$79</definedName>
    <definedName name="FHD_P_63">DATA_NPA!$M$80</definedName>
    <definedName name="FHD_P_64">DATA_NPA!$M$81</definedName>
    <definedName name="FHD_P_65">DATA_NPA!$M$82</definedName>
    <definedName name="FHD_P_66">DATA_NPA!$M$83</definedName>
    <definedName name="FHD_P_67">DATA_NPA!$M$84</definedName>
    <definedName name="FHD_P_68">DATA_NPA!$M$85</definedName>
    <definedName name="FHD_P_69">DATA_NPA!$M$86</definedName>
    <definedName name="FHD_P_7">DATA_NPA!$M$24</definedName>
    <definedName name="FHD_P_70">DATA_NPA!$M$87</definedName>
    <definedName name="FHD_P_71">DATA_NPA!$M$88</definedName>
    <definedName name="FHD_P_72">DATA_NPA!$M$89</definedName>
    <definedName name="FHD_P_73">DATA_NPA!$M$90</definedName>
    <definedName name="FHD_P_74">DATA_NPA!$M$91</definedName>
    <definedName name="FHD_P_75">DATA_NPA!$M$92</definedName>
    <definedName name="FHD_P_76">DATA_NPA!$M$93</definedName>
    <definedName name="FHD_P_77">DATA_NPA!$M$94</definedName>
    <definedName name="FHD_P_78">DATA_NPA!$M$95</definedName>
    <definedName name="FHD_P_79">DATA_NPA!$M$96</definedName>
    <definedName name="FHD_P_8">DATA_NPA!$M$25</definedName>
    <definedName name="FHD_P_80">DATA_NPA!$M$97</definedName>
    <definedName name="FHD_P_81">DATA_NPA!$M$98</definedName>
    <definedName name="FHD_P_82">DATA_NPA!$M$99</definedName>
    <definedName name="FHD_P_83">DATA_NPA!$M$100</definedName>
    <definedName name="FHD_P_84">DATA_NPA!$M$101</definedName>
    <definedName name="FHD_P_9">DATA_NPA!$M$26</definedName>
    <definedName name="FHD_P_A">DATA_NPA!$M$18</definedName>
    <definedName name="FHD20_NAME_FORM">DATA_FORMS!$C$7</definedName>
    <definedName name="fil">Титульный!$F$32</definedName>
    <definedName name="flag_Q_LIMIT_p3">Ограничения!$F$36:$K$36</definedName>
    <definedName name="flag_Q_LIMIT_p4">Ограничения!$F$38:$K$38</definedName>
    <definedName name="HEAT_FIN_SRC_LIST">TEHSHEET!$BH$4:$BH$26</definedName>
    <definedName name="HEAT_FIN_SRC_VLD_LIST">TEHSHEET!$BH$39:$BH$54</definedName>
    <definedName name="HEAT_IP_EVENT_CI_STAGE_LIST">TEHSHEET!$BH$97:$BH$99</definedName>
    <definedName name="HEAT_IP_EVENT_GROUP_LIST">TEHSHEET!$BH$69:$BH$76</definedName>
    <definedName name="HEAT_IP_EVENT_SUBGROUP_1_LIST">TEHSHEET!$BH$80:$BH$83</definedName>
    <definedName name="HEAT_IP_EVENT_SUBGROUP_3_LIST">TEHSHEET!$BH$87:$BH$88</definedName>
    <definedName name="HEAT_IP_EVENT_SUBGROUP_5_LIST">TEHSHEET!$BH$92:$BH$93</definedName>
    <definedName name="HEAT_IP_EVENT_TYPE_LIST">TEHSHEET!$BH$108:$BH$110</definedName>
    <definedName name="HEAT_PT_SCHEME">TEHSHEET!$BH$115:$BH$118</definedName>
    <definedName name="HEAT_PT_TARIFF_ID">TEHSHEET!$BQ$5:$BQ$14</definedName>
    <definedName name="HEAT_PT_TARIFF_NAME">TEHSHEET!$BR$5:$BR$14</definedName>
    <definedName name="HEAT_PT_TARIFF_NAME_LIST">TEHSHEET!$BQ$5:$BR$14</definedName>
    <definedName name="HEAT_PT_VED_ID">TEHSHEET!$BQ$19:$BQ$28</definedName>
    <definedName name="HEAT_PT_VED_NAME">TEHSHEET!$BR$19:$BR$28</definedName>
    <definedName name="HEAT_PT_VED_NAME_LIST">TEHSHEET!$BQ$19:$BR$28</definedName>
    <definedName name="HEAT_TARIFF_A_ADD_HL_COLUMN_MARKER">'ТС. Т-ТЭ | &gt;=25МВт'!$T$36</definedName>
    <definedName name="HEAT_TARIFF_A_DEL_HL_GC_COLUMN_MARKER">'ТС. Т-ТЭ | &gt;=25МВт'!$Q$36</definedName>
    <definedName name="HEAT_TARIFF_A_DEL_HL_SCHEME_COLUMN_MARKER">'ТС. Т-ТЭ | &gt;=25МВт'!$P$36</definedName>
    <definedName name="HEAT_TARIFF_A_DEL_HL_TN_COLUMN_MARKER">'ТС. Т-ТЭ | &gt;=25МВт'!$R$36</definedName>
    <definedName name="HEAT_TARIFF_A_DELETE_PERIOD_ROW_MARKER">'ТС. Т-ТЭ | &gt;=25МВт'!$O$37</definedName>
    <definedName name="HEAT_TARIFF_A_FLAG_BLOCK_COLUMN_MARKER">'ТС. Т-ТЭ | &gt;=25МВт'!$L$41</definedName>
    <definedName name="HEAT_TARIFF_A_FLAG_BLOCK_ROW_MARKER">'ТС. Т-ТЭ | &gt;=25МВт'!$O$22</definedName>
    <definedName name="HEAT_TARIFF_A_NUM_CS_COLUMN_MARKER">'ТС. Т-ТЭ | &gt;=25МВт'!$G$41</definedName>
    <definedName name="HEAT_TARIFF_A_NUM_GC_COLUMN_MARKER">'ТС. Т-ТЭ | &gt;=25МВт'!$J$41</definedName>
    <definedName name="HEAT_TARIFF_A_NUM_IST_TE_COLUMN_MARKER">'ТС. Т-ТЭ | &gt;=25МВт'!$H$41</definedName>
    <definedName name="HEAT_TARIFF_A_NUM_NTAR_COLUMN_MARKER">'ТС. Т-ТЭ | &gt;=25МВт'!$E$41</definedName>
    <definedName name="HEAT_TARIFF_A_NUM_SCHEME_COLUMN_MARKER">'ТС. Т-ТЭ | &gt;=25МВт'!$I$41</definedName>
    <definedName name="HEAT_TARIFF_A_NUM_TER_COLUMN_MARKER">'ТС. Т-ТЭ | &gt;=25МВт'!$F$41</definedName>
    <definedName name="HEAT_TARIFF_A_NUM_TN_COLUMN_MARKER">'ТС. Т-ТЭ | &gt;=25МВт'!$K$41</definedName>
    <definedName name="HEAT_TARIFF_B_ADD_HL_COLUMN_MARKER">'ТС. Т-ТЭ | ТСО'!$T$36</definedName>
    <definedName name="HEAT_TARIFF_B_DEL_HL_GC_COLUMN_MARKER">'ТС. Т-ТЭ | ТСО'!$Q$36</definedName>
    <definedName name="HEAT_TARIFF_B_DEL_HL_SCHEME_COLUMN_MARKER">'ТС. Т-ТЭ | ТСО'!$P$36</definedName>
    <definedName name="HEAT_TARIFF_B_DEL_HL_TN_COLUMN_MARKER">'ТС. Т-ТЭ | ТСО'!$R$36</definedName>
    <definedName name="HEAT_TARIFF_B_DELETE_PERIOD_ROW_MARKER">'ТС. Т-ТЭ | ТСО'!$O$37</definedName>
    <definedName name="HEAT_TARIFF_B_FLAG_BLOCK_COLUMN_MARKER">'ТС. Т-ТЭ | ТСО'!$L$41</definedName>
    <definedName name="HEAT_TARIFF_B_FLAG_BLOCK_ROW_MARKER">'ТС. Т-ТЭ | ТСО'!$O$22</definedName>
    <definedName name="HEAT_TARIFF_B_NUM_CS_COLUMN_MARKER">'ТС. Т-ТЭ | ТСО'!$G$41</definedName>
    <definedName name="HEAT_TARIFF_B_NUM_GC_COLUMN_MARKER">'ТС. Т-ТЭ | ТСО'!$J$41</definedName>
    <definedName name="HEAT_TARIFF_B_NUM_IST_TE_COLUMN_MARKER">'ТС. Т-ТЭ | ТСО'!$H$41</definedName>
    <definedName name="HEAT_TARIFF_B_NUM_NTAR_COLUMN_MARKER">'ТС. Т-ТЭ | ТСО'!$E$41</definedName>
    <definedName name="HEAT_TARIFF_B_NUM_SCHEME_COLUMN_MARKER">'ТС. Т-ТЭ | ТСО'!$I$41</definedName>
    <definedName name="HEAT_TARIFF_B_NUM_TER_COLUMN_MARKER">'ТС. Т-ТЭ | ТСО'!$F$41</definedName>
    <definedName name="HEAT_TARIFF_B_NUM_TN_COLUMN_MARKER">'ТС. Т-ТЭ | ТСО'!$K$41</definedName>
    <definedName name="HEAT_TARIFF_C_ADD_HL_COLUMN_MARKER">'ТС. Т-ТН'!$T$36</definedName>
    <definedName name="HEAT_TARIFF_C_DEL_HL_GC_COLUMN_MARKER">'ТС. Т-ТН'!$Q$36</definedName>
    <definedName name="HEAT_TARIFF_C_DEL_HL_SCHEME_COLUMN_MARKER">'ТС. Т-ТН'!$P$36</definedName>
    <definedName name="HEAT_TARIFF_C_DEL_HL_TN_COLUMN_MARKER">'ТС. Т-ТН'!$R$36</definedName>
    <definedName name="HEAT_TARIFF_C_DELETE_PERIOD_ROW_MARKER">'ТС. Т-ТН'!$O$37</definedName>
    <definedName name="HEAT_TARIFF_C_FLAG_BLOCK_COLUMN_MARKER">'ТС. Т-ТН'!$L$41</definedName>
    <definedName name="HEAT_TARIFF_C_FLAG_BLOCK_ROW_MARKER">'ТС. Т-ТН'!$O$22</definedName>
    <definedName name="HEAT_TARIFF_C_NUM_CS_COLUMN_MARKER">'ТС. Т-ТН'!$G$41</definedName>
    <definedName name="HEAT_TARIFF_C_NUM_GC_COLUMN_MARKER">'ТС. Т-ТН'!$J$41</definedName>
    <definedName name="HEAT_TARIFF_C_NUM_IST_TE_COLUMN_MARKER">'ТС. Т-ТН'!$H$41</definedName>
    <definedName name="HEAT_TARIFF_C_NUM_NTAR_COLUMN_MARKER">'ТС. Т-ТН'!$E$41</definedName>
    <definedName name="HEAT_TARIFF_C_NUM_SCHEME_COLUMN_MARKER">'ТС. Т-ТН'!$I$41</definedName>
    <definedName name="HEAT_TARIFF_C_NUM_TER_COLUMN_MARKER">'ТС. Т-ТН'!$F$41</definedName>
    <definedName name="HEAT_TARIFF_C_NUM_TN_COLUMN_MARKER">'ТС. Т-ТН'!$K$41</definedName>
    <definedName name="HEAT_TARIFF_D_ADD_HL_COLUMN_MARKER">'ТС. Т-гор.вода'!$V$40</definedName>
    <definedName name="HEAT_TARIFF_D_DEL_HL_CONS_COLUMN_MARKER">'ТС. Т-гор.вода'!$T$40</definedName>
    <definedName name="HEAT_TARIFF_D_DEL_HL_GC_COLUMN_MARKER">'ТС. Т-гор.вода'!$R$40</definedName>
    <definedName name="HEAT_TARIFF_D_DEL_HL_SCHEME_COLUMN_MARKER">'ТС. Т-гор.вода'!$Q$40</definedName>
    <definedName name="HEAT_TARIFF_D_DEL_HL_TN_COLUMN_MARKER">'ТС. Т-гор.вода'!$S$40</definedName>
    <definedName name="HEAT_TARIFF_D_DELETE_PERIOD_ROW_MARKER">'ТС. Т-гор.вода'!$P$41</definedName>
    <definedName name="HEAT_TARIFF_D_FLAG_BLOCK_COLUMN_MARKER">'ТС. Т-гор.вода'!$M$47</definedName>
    <definedName name="HEAT_TARIFF_D_FLAG_BLOCK_ROW_MARKER">'ТС. Т-гор.вода'!$P$26</definedName>
    <definedName name="HEAT_TARIFF_D_NUM_CONS_COLUMN_MARKER">'ТС. Т-гор.вода'!$L$47</definedName>
    <definedName name="HEAT_TARIFF_D_NUM_CS_COLUMN_MARKER">'ТС. Т-гор.вода'!$G$47</definedName>
    <definedName name="HEAT_TARIFF_D_NUM_GC_COLUMN_MARKER">'ТС. Т-гор.вода'!$J$47</definedName>
    <definedName name="HEAT_TARIFF_D_NUM_IST_TE_COLUMN_MARKER">'ТС. Т-гор.вода'!$H$47</definedName>
    <definedName name="HEAT_TARIFF_D_NUM_NTAR_COLUMN_MARKER">'ТС. Т-гор.вода'!$E$47</definedName>
    <definedName name="HEAT_TARIFF_D_NUM_SCHEME_COLUMN_MARKER">'ТС. Т-гор.вода'!$I$47</definedName>
    <definedName name="HEAT_TARIFF_D_NUM_TER_COLUMN_MARKER">'ТС. Т-гор.вода'!$F$47</definedName>
    <definedName name="HEAT_TARIFF_D_NUM_TN_COLUMN_MARKER">'ТС. Т-гор.вода'!$K$47</definedName>
    <definedName name="HEAT_TARIFF_E1_ADD_HL_COLUMN_MARKER">'ТС. Т-передача ТЭ'!$T$36</definedName>
    <definedName name="HEAT_TARIFF_E1_DEL_HL_GC_COLUMN_MARKER">'ТС. Т-передача ТЭ'!$Q$36</definedName>
    <definedName name="HEAT_TARIFF_E1_DEL_HL_SCHEME_COLUMN_MARKER">'ТС. Т-передача ТЭ'!$P$36</definedName>
    <definedName name="HEAT_TARIFF_E1_DEL_HL_TN_COLUMN_MARKER">'ТС. Т-передача ТЭ'!$R$36</definedName>
    <definedName name="HEAT_TARIFF_E1_DELETE_PERIOD_ROW_MARKER">'ТС. Т-передача ТЭ'!$O$37</definedName>
    <definedName name="HEAT_TARIFF_E1_FLAG_BLOCK_COLUMN_MARKER">'ТС. Т-передача ТЭ'!$L$41</definedName>
    <definedName name="HEAT_TARIFF_E1_FLAG_BLOCK_ROW_MARKER">'ТС. Т-передача ТЭ'!$O$22</definedName>
    <definedName name="HEAT_TARIFF_E1_NUM_CS_COLUMN_MARKER">'ТС. Т-передача ТЭ'!$G$41</definedName>
    <definedName name="HEAT_TARIFF_E1_NUM_GC_COLUMN_MARKER">'ТС. Т-передача ТЭ'!$J$41</definedName>
    <definedName name="HEAT_TARIFF_E1_NUM_IST_TE_COLUMN_MARKER">'ТС. Т-передача ТЭ'!$H$41</definedName>
    <definedName name="HEAT_TARIFF_E1_NUM_NTAR_COLUMN_MARKER">'ТС. Т-передача ТЭ'!$E$41</definedName>
    <definedName name="HEAT_TARIFF_E1_NUM_SCHEME_COLUMN_MARKER">'ТС. Т-передача ТЭ'!$I$41</definedName>
    <definedName name="HEAT_TARIFF_E1_NUM_TER_COLUMN_MARKER">'ТС. Т-передача ТЭ'!$F$41</definedName>
    <definedName name="HEAT_TARIFF_E1_NUM_TN_COLUMN_MARKER">'ТС. Т-передача ТЭ'!$K$41</definedName>
    <definedName name="HEAT_TARIFF_E2_ADD_HL_COLUMN_MARKER">'ТС. Т-передача ТН'!$T$36</definedName>
    <definedName name="HEAT_TARIFF_E2_DEL_HL_GC_COLUMN_MARKER">'ТС. Т-передача ТН'!$Q$36</definedName>
    <definedName name="HEAT_TARIFF_E2_DEL_HL_SCHEME_COLUMN_MARKER">'ТС. Т-передача ТН'!$P$36</definedName>
    <definedName name="HEAT_TARIFF_E2_DEL_HL_TN_COLUMN_MARKER">'ТС. Т-передача ТН'!$R$36</definedName>
    <definedName name="HEAT_TARIFF_E2_DELETE_PERIOD_ROW_MARKER">'ТС. Т-передача ТН'!$O$37</definedName>
    <definedName name="HEAT_TARIFF_E2_FLAG_BLOCK_COLUMN_MARKER">'ТС. Т-передача ТН'!$L$41</definedName>
    <definedName name="HEAT_TARIFF_E2_FLAG_BLOCK_ROW_MARKER">'ТС. Т-передача ТН'!$O$22</definedName>
    <definedName name="HEAT_TARIFF_E2_NUM_CS_COLUMN_MARKER">'ТС. Т-передача ТН'!$G$41</definedName>
    <definedName name="HEAT_TARIFF_E2_NUM_GC_COLUMN_MARKER">'ТС. Т-передача ТН'!$J$41</definedName>
    <definedName name="HEAT_TARIFF_E2_NUM_IST_TE_COLUMN_MARKER">'ТС. Т-передача ТН'!$H$41</definedName>
    <definedName name="HEAT_TARIFF_E2_NUM_NTAR_COLUMN_MARKER">'ТС. Т-передача ТН'!$E$41</definedName>
    <definedName name="HEAT_TARIFF_E2_NUM_SCHEME_COLUMN_MARKER">'ТС. Т-передача ТН'!$I$41</definedName>
    <definedName name="HEAT_TARIFF_E2_NUM_TER_COLUMN_MARKER">'ТС. Т-передача ТН'!$F$41</definedName>
    <definedName name="HEAT_TARIFF_E2_NUM_TN_COLUMN_MARKER">'ТС. Т-передача ТН'!$K$41</definedName>
    <definedName name="HEAT_TARIFF_F_ADD_HL_COLUMN_MARKER">'ТС. Резерв мощности'!$T$36</definedName>
    <definedName name="HEAT_TARIFF_F_DEL_HL_GC_COLUMN_MARKER">'ТС. Резерв мощности'!$Q$36</definedName>
    <definedName name="HEAT_TARIFF_F_DEL_HL_SCHEME_COLUMN_MARKER">'ТС. Резерв мощности'!$P$36</definedName>
    <definedName name="HEAT_TARIFF_F_DEL_HL_TN_COLUMN_MARKER">'ТС. Резерв мощности'!$R$36</definedName>
    <definedName name="HEAT_TARIFF_F_DELETE_PERIOD_ROW_MARKER">'ТС. Резерв мощности'!$O$37</definedName>
    <definedName name="HEAT_TARIFF_F_FLAG_BLOCK_COLUMN_MARKER">'ТС. Резерв мощности'!$L$41</definedName>
    <definedName name="HEAT_TARIFF_F_FLAG_BLOCK_ROW_MARKER">'ТС. Резерв мощности'!$O$22</definedName>
    <definedName name="HEAT_TARIFF_F_NUM_CS_COLUMN_MARKER">'ТС. Резерв мощности'!$G$41</definedName>
    <definedName name="HEAT_TARIFF_F_NUM_GC_COLUMN_MARKER">'ТС. Резерв мощности'!$J$41</definedName>
    <definedName name="HEAT_TARIFF_F_NUM_IST_TE_COLUMN_MARKER">'ТС. Резерв мощности'!$H$41</definedName>
    <definedName name="HEAT_TARIFF_F_NUM_NTAR_COLUMN_MARKER">'ТС. Резерв мощности'!$E$41</definedName>
    <definedName name="HEAT_TARIFF_F_NUM_SCHEME_COLUMN_MARKER">'ТС. Резерв мощности'!$I$41</definedName>
    <definedName name="HEAT_TARIFF_F_NUM_TER_COLUMN_MARKER">'ТС. Резерв мощности'!$F$41</definedName>
    <definedName name="HEAT_TARIFF_F_NUM_TN_COLUMN_MARKER">'ТС. Резерв мощности'!$K$41</definedName>
    <definedName name="HEAT_TARIFF_G_ADD_HL_COLUMN_MARKER">'ТС. Т-подкл'!$T$37</definedName>
    <definedName name="HEAT_TARIFF_G_ADD_HL_DIAMETERS_COLUMN_MARKER">'ТС. Т-подкл'!$AM$37</definedName>
    <definedName name="HEAT_TARIFF_G_ADD_HL_LOAD_COLUMN_MARKER">'ТС. Т-подкл'!$AE$37</definedName>
    <definedName name="HEAT_TARIFF_G_ADD_HL_NETS_COLUMN_MARKER">'ТС. Т-подкл'!$AI$37</definedName>
    <definedName name="HEAT_TARIFF_G_DEL_HL_DIAMETERS_COLUMN_MARKER">'ТС. Т-подкл'!$AK$37</definedName>
    <definedName name="HEAT_TARIFF_G_DEL_HL_GC_COLUMN_MARKER">'ТС. Т-подкл'!$Q$37</definedName>
    <definedName name="HEAT_TARIFF_G_DEL_HL_LOAD_COLUMN_MARKER">'ТС. Т-подкл'!$AC$37</definedName>
    <definedName name="HEAT_TARIFF_G_DEL_HL_NETS_COLUMN_MARKER">'ТС. Т-подкл'!$AG$37</definedName>
    <definedName name="HEAT_TARIFF_G_DEL_HL_SCHEME_COLUMN_MARKER">'ТС. Т-подкл'!$P$37</definedName>
    <definedName name="HEAT_TARIFF_G_DEL_HL_TN_COLUMN_MARKER">'ТС. Т-подкл'!$R$37</definedName>
    <definedName name="HEAT_TARIFF_G_DELETE_PERIOD_ROW_MARKER">'ТС. Т-подкл'!$O$38</definedName>
    <definedName name="HEAT_TARIFF_G_FLAG_BLOCK_COLUMN_MARKER">'ТС. Т-подкл'!$L$43</definedName>
    <definedName name="HEAT_TARIFF_G_FLAG_BLOCK_ROW_MARKER">'ТС. Т-подкл'!$O$23</definedName>
    <definedName name="HEAT_TARIFF_G_NUM_CS_COLUMN_MARKER">'ТС. Т-подкл'!$G$43</definedName>
    <definedName name="HEAT_TARIFF_G_NUM_DIAMETERS_COLUMN_MARKER">'ТС. Т-подкл'!$AL$37</definedName>
    <definedName name="HEAT_TARIFF_G_NUM_GC_COLUMN_MARKER">'ТС. Т-подкл'!$J$43</definedName>
    <definedName name="HEAT_TARIFF_G_NUM_IST_TE_COLUMN_MARKER">'ТС. Т-подкл'!$H$43</definedName>
    <definedName name="HEAT_TARIFF_G_NUM_LOAD_COLUMN_MARKER">'ТС. Т-подкл'!$AD$37</definedName>
    <definedName name="HEAT_TARIFF_G_NUM_NETS_COLUMN_MARKER">'ТС. Т-подкл'!$AH$37</definedName>
    <definedName name="HEAT_TARIFF_G_NUM_NTAR_COLUMN_MARKER">'ТС. Т-подкл'!$E$43</definedName>
    <definedName name="HEAT_TARIFF_G_NUM_SCHEME_COLUMN_MARKER">'ТС. Т-подкл'!$I$43</definedName>
    <definedName name="HEAT_TARIFF_G_NUM_TER_COLUMN_MARKER">'ТС. Т-подкл'!$F$43</definedName>
    <definedName name="HEAT_TARIFF_G_NUM_TN_COLUMN_MARKER">'ТС. Т-подкл'!$K$43</definedName>
    <definedName name="HEAT_TARIFF_H_ADD_HL_COLUMN_MARKER">'ТС. Т-подкл(инд)'!$T$34</definedName>
    <definedName name="HEAT_TARIFF_H_ADD_HL_DIAMETERS_COLUMN_MARKER">'ТС. Т-подкл(инд)'!$AO$34</definedName>
    <definedName name="HEAT_TARIFF_H_ADD_HL_LOAD_COLUMN_MARKER">'ТС. Т-подкл(инд)'!$AM$34</definedName>
    <definedName name="HEAT_TARIFF_H_ADD_HL_NETS_COLUMN_MARKER">'ТС. Т-подкл(инд)'!$AN$34</definedName>
    <definedName name="HEAT_TARIFF_H_DEL_HL_DIAMETERS_COLUMN_MARKER">'ТС. Т-подкл(инд)'!$AO$34</definedName>
    <definedName name="HEAT_TARIFF_H_DEL_HL_GC_COLUMN_MARKER">'ТС. Т-подкл(инд)'!$Q$34</definedName>
    <definedName name="HEAT_TARIFF_H_DEL_HL_LOAD_COLUMN_MARKER">'ТС. Т-подкл(инд)'!$AM$34</definedName>
    <definedName name="HEAT_TARIFF_H_DEL_HL_NETS_COLUMN_MARKER">'ТС. Т-подкл(инд)'!$AN$34</definedName>
    <definedName name="HEAT_TARIFF_H_DEL_HL_SCHEME_COLUMN_MARKER">'ТС. Т-подкл(инд)'!$P$34</definedName>
    <definedName name="HEAT_TARIFF_H_DEL_HL_TN_COLUMN_MARKER">'ТС. Т-подкл(инд)'!$R$34</definedName>
    <definedName name="HEAT_TARIFF_H_DELETE_PERIOD_ROW_MARKER">'ТС. Т-подкл(инд)'!$O$35</definedName>
    <definedName name="HEAT_TARIFF_H_FLAG_BLOCK_COLUMN_MARKER">'ТС. Т-подкл(инд)'!$L$40</definedName>
    <definedName name="HEAT_TARIFF_H_FLAG_BLOCK_ROW_MARKER">'ТС. Т-подкл(инд)'!$O$20</definedName>
    <definedName name="HEAT_TARIFF_H_NUM_CS_COLUMN_MARKER">'ТС. Т-подкл(инд)'!$G$40</definedName>
    <definedName name="HEAT_TARIFF_H_NUM_DIAMETERS_COLUMN_MARKER">'ТС. Т-подкл(инд)'!$AO$34</definedName>
    <definedName name="HEAT_TARIFF_H_NUM_GC_COLUMN_MARKER">'ТС. Т-подкл(инд)'!$J$40</definedName>
    <definedName name="HEAT_TARIFF_H_NUM_IST_TE_COLUMN_MARKER">'ТС. Т-подкл(инд)'!$H$40</definedName>
    <definedName name="HEAT_TARIFF_H_NUM_LOAD_COLUMN_MARKER">'ТС. Т-подкл(инд)'!$AM$34</definedName>
    <definedName name="HEAT_TARIFF_H_NUM_NETS_COLUMN_MARKER">'ТС. Т-подкл(инд)'!$AN$34</definedName>
    <definedName name="HEAT_TARIFF_H_NUM_NTAR_COLUMN_MARKER">'ТС. Т-подкл(инд)'!$E$40</definedName>
    <definedName name="HEAT_TARIFF_H_NUM_SCHEME_COLUMN_MARKER">'ТС. Т-подкл(инд)'!$I$40</definedName>
    <definedName name="HEAT_TARIFF_H_NUM_TER_COLUMN_MARKER">'ТС. Т-подкл(инд)'!$F$40</definedName>
    <definedName name="HEAT_TARIFF_H_NUM_TN_COLUMN_MARKER">'ТС. Т-подкл(инд)'!$K$40</definedName>
    <definedName name="HEAT_TARIFF_I_1_ADD_HL_COLUMN_MARKER">'ТС. Т-ТЭ | индикат'!$T$36</definedName>
    <definedName name="HEAT_TARIFF_I_1_DEL_HL_GC_COLUMN_MARKER">'ТС. Т-ТЭ | индикат'!$Q$36</definedName>
    <definedName name="HEAT_TARIFF_I_1_DEL_HL_SCHEME_COLUMN_MARKER">'ТС. Т-ТЭ | индикат'!$P$36</definedName>
    <definedName name="HEAT_TARIFF_I_1_DEL_HL_TN_COLUMN_MARKER">'ТС. Т-ТЭ | индикат'!$R$36</definedName>
    <definedName name="HEAT_TARIFF_I_1_DELETE_PERIOD_ROW_MARKER">'ТС. Т-ТЭ | индикат'!$O$37</definedName>
    <definedName name="HEAT_TARIFF_I_1_FLAG_BLOCK_COLUMN_MARKER">'ТС. Т-ТЭ | индикат'!$L$41</definedName>
    <definedName name="HEAT_TARIFF_I_1_FLAG_BLOCK_ROW_MARKER">'ТС. Т-ТЭ | индикат'!$O$22</definedName>
    <definedName name="HEAT_TARIFF_I_1_NUM_CS_COLUMN_MARKER">'ТС. Т-ТЭ | индикат'!$G$41</definedName>
    <definedName name="HEAT_TARIFF_I_1_NUM_GC_COLUMN_MARKER">'ТС. Т-ТЭ | индикат'!$J$41</definedName>
    <definedName name="HEAT_TARIFF_I_1_NUM_IST_TE_COLUMN_MARKER">'ТС. Т-ТЭ | индикат'!$H$41</definedName>
    <definedName name="HEAT_TARIFF_I_1_NUM_NTAR_COLUMN_MARKER">'ТС. Т-ТЭ | индикат'!$E$41</definedName>
    <definedName name="HEAT_TARIFF_I_1_NUM_SCHEME_COLUMN_MARKER">'ТС. Т-ТЭ | индикат'!$I$41</definedName>
    <definedName name="HEAT_TARIFF_I_1_NUM_TER_COLUMN_MARKER">'ТС. Т-ТЭ | индикат'!$F$41</definedName>
    <definedName name="HEAT_TARIFF_I_1_NUM_TN_COLUMN_MARKER">'ТС. Т-ТЭ | индикат'!$K$41</definedName>
    <definedName name="HEAT_TARIFF_I_ADD_HL_COLUMN_MARKER">'ТС. Т-ТЭ | предел'!$T$36</definedName>
    <definedName name="HEAT_TARIFF_I_DEL_HL_GC_COLUMN_MARKER">'ТС. Т-ТЭ | предел'!$Q$36</definedName>
    <definedName name="HEAT_TARIFF_I_DEL_HL_SCHEME_COLUMN_MARKER">'ТС. Т-ТЭ | предел'!$P$36</definedName>
    <definedName name="HEAT_TARIFF_I_DEL_HL_TN_COLUMN_MARKER">'ТС. Т-ТЭ | предел'!$R$36</definedName>
    <definedName name="HEAT_TARIFF_I_DELETE_PERIOD_ROW_MARKER">'ТС. Т-ТЭ | предел'!$O$37</definedName>
    <definedName name="HEAT_TARIFF_I_FLAG_BLOCK_COLUMN_MARKER">'ТС. Т-ТЭ | предел'!$L$41</definedName>
    <definedName name="HEAT_TARIFF_I_FLAG_BLOCK_ROW_MARKER">'ТС. Т-ТЭ | предел'!$O$22</definedName>
    <definedName name="HEAT_TARIFF_I_NUM_CS_COLUMN_MARKER">'ТС. Т-ТЭ | предел'!$G$41</definedName>
    <definedName name="HEAT_TARIFF_I_NUM_GC_COLUMN_MARKER">'ТС. Т-ТЭ | предел'!$J$41</definedName>
    <definedName name="HEAT_TARIFF_I_NUM_IST_TE_COLUMN_MARKER">'ТС. Т-ТЭ | предел'!$H$41</definedName>
    <definedName name="HEAT_TARIFF_I_NUM_NTAR_COLUMN_MARKER">'ТС. Т-ТЭ | предел'!$E$41</definedName>
    <definedName name="HEAT_TARIFF_I_NUM_SCHEME_COLUMN_MARKER">'ТС. Т-ТЭ | предел'!$I$41</definedName>
    <definedName name="HEAT_TARIFF_I_NUM_TER_COLUMN_MARKER">'ТС. Т-ТЭ | предел'!$F$41</definedName>
    <definedName name="HEAT_TARIFF_I_NUM_TN_COLUMN_MARKER">'ТС. Т-ТЭ | предел'!$K$41</definedName>
    <definedName name="HOTVSNA_FIN_SRC_LIST">TEHSHEET!$BJ$4:$BJ$34</definedName>
    <definedName name="HOTVSNA_FIN_SRC_VLD_LIST">TEHSHEET!$BJ$39:$BJ$60</definedName>
    <definedName name="HOTVSNA_IP_EVENT_CI_STAGE_LIST">TEHSHEET!$BJ$97:$BJ$100</definedName>
    <definedName name="HOTVSNA_IP_EVENT_GROUP_LIST">TEHSHEET!$BJ$69:$BJ$76</definedName>
    <definedName name="HOTVSNA_IP_EVENT_SUBGROUP_1_LIST">TEHSHEET!$BJ$80:$BJ$83</definedName>
    <definedName name="HOTVSNA_IP_EVENT_SUBGROUP_3_LIST">TEHSHEET!$BJ$87:$BJ$88</definedName>
    <definedName name="HOTVSNA_IP_EVENT_SUBGROUP_5_LIST">TEHSHEET!$BJ$92:$BJ$93</definedName>
    <definedName name="HOTVSNA_IP_EVENT_TYPE_LIST">TEHSHEET!$BJ$108</definedName>
    <definedName name="HOTVSNA_PT_VED_ID">TEHSHEET!$BW$19:$BW$21</definedName>
    <definedName name="HOTVSNA_PT_VED_NAME">TEHSHEET!$BX$19:$BX$21</definedName>
    <definedName name="HOTVSNA_PT_VED_NAME_LIST">TEHSHEET!$BW$19:$BX$21</definedName>
    <definedName name="HOTVSNA_TARIFF_A_HOTVSNA_ADD_HL_COLUMN_MARKER">'ГВС. Т-гор.вода'!$T$34</definedName>
    <definedName name="HOTVSNA_TARIFF_A_HOTVSNA_DEL_HL_DATA_DIFF_COLUMN_MARKER">'ГВС. Т-гор.вода'!$R$34</definedName>
    <definedName name="HOTVSNA_TARIFF_A_HOTVSNA_DEL_HL_FLAG_DIFF_COLUMN_MARKER">'ГВС. Т-гор.вода'!$P$34</definedName>
    <definedName name="HOTVSNA_TARIFF_A_HOTVSNA_DEL_HL_GC_COLUMN_MARKER">'ГВС. Т-гор.вода'!$Q$34</definedName>
    <definedName name="HOTVSNA_TARIFF_A_HOTVSNA_DELETE_PERIOD_ROW_MARKER">'ГВС. Т-гор.вода'!$O$35</definedName>
    <definedName name="HOTVSNA_TARIFF_A_HOTVSNA_FLAG_BLOCK_COLUMN_MARKER">'ГВС. Т-гор.вода'!$L$36</definedName>
    <definedName name="HOTVSNA_TARIFF_A_HOTVSNA_FLAG_BLOCK_ROW_MARKER">'ГВС. Т-гор.вода'!$O$20</definedName>
    <definedName name="HOTVSNA_TARIFF_A_HOTVSNA_NUM_CS_COLUMN_MARKER">'ГВС. Т-гор.вода'!$G$36</definedName>
    <definedName name="HOTVSNA_TARIFF_A_HOTVSNA_NUM_DATA_DIFF_COLUMN_MARKER">'ГВС. Т-гор.вода'!$K$36</definedName>
    <definedName name="HOTVSNA_TARIFF_A_HOTVSNA_NUM_FLAG_DIFF_COLUMN_MARKER">'ГВС. Т-гор.вода'!$I$36</definedName>
    <definedName name="HOTVSNA_TARIFF_A_HOTVSNA_NUM_GC_COLUMN_MARKER">'ГВС. Т-гор.вода'!$J$36</definedName>
    <definedName name="HOTVSNA_TARIFF_A_HOTVSNA_NUM_NTAR_COLUMN_MARKER">'ГВС. Т-гор.вода'!$E$36</definedName>
    <definedName name="HOTVSNA_TARIFF_A_HOTVSNA_NUM_TER_COLUMN_MARKER">'ГВС. Т-гор.вода'!$F$36</definedName>
    <definedName name="HOTVSNA_TARIFF_B_HOTVSNA_ADD_HL_COLUMN_MARKER">'ГВС. Т-транс'!$T$34</definedName>
    <definedName name="HOTVSNA_TARIFF_B_HOTVSNA_DEL_HL_DATA_DIFF_COLUMN_MARKER">'ГВС. Т-транс'!$R$34</definedName>
    <definedName name="HOTVSNA_TARIFF_B_HOTVSNA_DEL_HL_FLAG_DIFF_COLUMN_MARKER">'ГВС. Т-транс'!$P$34</definedName>
    <definedName name="HOTVSNA_TARIFF_B_HOTVSNA_DEL_HL_GC_COLUMN_MARKER">'ГВС. Т-транс'!$Q$34</definedName>
    <definedName name="HOTVSNA_TARIFF_B_HOTVSNA_DELETE_PERIOD_ROW_MARKER">'ГВС. Т-транс'!$O$35</definedName>
    <definedName name="HOTVSNA_TARIFF_B_HOTVSNA_FLAG_BLOCK_COLUMN_MARKER">'ГВС. Т-транс'!$L$36</definedName>
    <definedName name="HOTVSNA_TARIFF_B_HOTVSNA_FLAG_BLOCK_ROW_MARKER">'ГВС. Т-транс'!$O$20</definedName>
    <definedName name="HOTVSNA_TARIFF_B_HOTVSNA_NUM_CS_COLUMN_MARKER">'ГВС. Т-транс'!$G$36</definedName>
    <definedName name="HOTVSNA_TARIFF_B_HOTVSNA_NUM_DATA_DIFF_COLUMN_MARKER">'ГВС. Т-транс'!$K$36</definedName>
    <definedName name="HOTVSNA_TARIFF_B_HOTVSNA_NUM_FLAG_DIFF_COLUMN_MARKER">'ГВС. Т-транс'!$I$36</definedName>
    <definedName name="HOTVSNA_TARIFF_B_HOTVSNA_NUM_GC_COLUMN_MARKER">'ГВС. Т-транс'!$J$36</definedName>
    <definedName name="HOTVSNA_TARIFF_B_HOTVSNA_NUM_NTAR_COLUMN_MARKER">'ГВС. Т-транс'!$E$36</definedName>
    <definedName name="HOTVSNA_TARIFF_B_HOTVSNA_NUM_TER_COLUMN_MARKER">'ГВС. Т-транс'!$F$36</definedName>
    <definedName name="HOTVSNA_TARIFF_C_HOTVSNA_ADD_HL_COLUMN_MARKER">'ГВС. Т-подкл'!$T$38</definedName>
    <definedName name="HOTVSNA_TARIFF_C_HOTVSNA_ADD_HL_DIAMETERS_COLUMN_MARKER">'ГВС. Т-подкл'!$AK$38</definedName>
    <definedName name="HOTVSNA_TARIFF_C_HOTVSNA_ADD_HL_LEN_COLUMN_MARKER">'ГВС. Т-подкл'!$AO$38</definedName>
    <definedName name="HOTVSNA_TARIFF_C_HOTVSNA_ADD_HL_LOAD_COLUMN_MARKER">'ГВС. Т-подкл'!$AG$38</definedName>
    <definedName name="HOTVSNA_TARIFF_C_HOTVSNA_ADD_HL_NETS_COLUMN_MARKER">'ГВС. Т-подкл'!$AS$38</definedName>
    <definedName name="HOTVSNA_TARIFF_C_HOTVSNA_DEL_HL_DATA_DIFF_COLUMN_MARKER">'ГВС. Т-подкл'!$R$38</definedName>
    <definedName name="HOTVSNA_TARIFF_C_HOTVSNA_DEL_HL_DIAMETERS_COLUMN_MARKER">'ГВС. Т-подкл'!$AI$38</definedName>
    <definedName name="HOTVSNA_TARIFF_C_HOTVSNA_DEL_HL_FLAG_DIFF_COLUMN_MARKER">'ГВС. Т-подкл'!$P$38</definedName>
    <definedName name="HOTVSNA_TARIFF_C_HOTVSNA_DEL_HL_GC_COLUMN_MARKER">'ГВС. Т-подкл'!$Q$38</definedName>
    <definedName name="HOTVSNA_TARIFF_C_HOTVSNA_DEL_HL_LEN_COLUMN_MARKER">'ГВС. Т-подкл'!$AM$38</definedName>
    <definedName name="HOTVSNA_TARIFF_C_HOTVSNA_DEL_HL_LOAD_COLUMN_MARKER">'ГВС. Т-подкл'!$AE$38</definedName>
    <definedName name="HOTVSNA_TARIFF_C_HOTVSNA_DEL_HL_NETS_COLUMN_MARKER">'ГВС. Т-подкл'!$AQ$38</definedName>
    <definedName name="HOTVSNA_TARIFF_C_HOTVSNA_DELETE_PERIOD_ROW_MARKER">'ГВС. Т-подкл'!$O$39</definedName>
    <definedName name="HOTVSNA_TARIFF_C_HOTVSNA_FLAG_BLOCK_COLUMN_MARKER">'ГВС. Т-подкл'!$L$44</definedName>
    <definedName name="HOTVSNA_TARIFF_C_HOTVSNA_FLAG_BLOCK_ROW_MARKER">'ГВС. Т-подкл'!$O$24</definedName>
    <definedName name="HOTVSNA_TARIFF_C_HOTVSNA_NUM_CS_COLUMN_MARKER">'ГВС. Т-подкл'!$G$44</definedName>
    <definedName name="HOTVSNA_TARIFF_C_HOTVSNA_NUM_DATA_DIFF_COLUMN_MARKER">'ГВС. Т-подкл'!$K$44</definedName>
    <definedName name="HOTVSNA_TARIFF_C_HOTVSNA_NUM_DIAMETERS_COLUMN_MARKER">'ГВС. Т-подкл'!$AJ$38</definedName>
    <definedName name="HOTVSNA_TARIFF_C_HOTVSNA_NUM_FLAG_DIFF_COLUMN_MARKER">'ГВС. Т-подкл'!$I$44</definedName>
    <definedName name="HOTVSNA_TARIFF_C_HOTVSNA_NUM_GC_COLUMN_MARKER">'ГВС. Т-подкл'!$J$44</definedName>
    <definedName name="HOTVSNA_TARIFF_C_HOTVSNA_NUM_LEN_COLUMN_MARKER">'ГВС. Т-подкл'!$AN$38</definedName>
    <definedName name="HOTVSNA_TARIFF_C_HOTVSNA_NUM_LOAD_COLUMN_MARKER">'ГВС. Т-подкл'!$AF$38</definedName>
    <definedName name="HOTVSNA_TARIFF_C_HOTVSNA_NUM_NETS_COLUMN_MARKER">'ГВС. Т-подкл'!$AR$38</definedName>
    <definedName name="HOTVSNA_TARIFF_C_HOTVSNA_NUM_NTAR_COLUMN_MARKER">'ГВС. Т-подкл'!$E$44</definedName>
    <definedName name="HOTVSNA_TARIFF_C_HOTVSNA_NUM_TER_COLUMN_MARKER">'ГВС. Т-подкл'!$F$44</definedName>
    <definedName name="Info_Diff">modInfo!$B$28</definedName>
    <definedName name="Info_Diff1">modInfo!$B$30</definedName>
    <definedName name="Info_FilFlag">modInfo!$B$1</definedName>
    <definedName name="Info_ForMOInListMO">modInfo!$B$18</definedName>
    <definedName name="Info_ForMRInListMO">modInfo!$B$17</definedName>
    <definedName name="Info_ForSKIInListMO">modInfo!$B$19</definedName>
    <definedName name="Info_ForSKINumberInListMO">modInfo!$B$20</definedName>
    <definedName name="Info_NoteStandarts">modInfo!$B$22</definedName>
    <definedName name="Info_NoUpdates">modInfo!$B$36</definedName>
    <definedName name="Info_PeriodInTitle">modInfo!$B$4</definedName>
    <definedName name="Info_PrDiff">modInfo!$B$29</definedName>
    <definedName name="Info_PublicationNotDisclosed">modInfo!$B$15</definedName>
    <definedName name="Info_PublicationPdf">modInfo!$B$14</definedName>
    <definedName name="Info_PublicationWeb">modInfo!$B$13</definedName>
    <definedName name="Info_T_Podkl">modInfo!$B$24</definedName>
    <definedName name="Info_TarName">modInfo!$B$27</definedName>
    <definedName name="Info_TerExcludeHelp_1">modInfo!$B$33</definedName>
    <definedName name="Info_TerExcludeHelp_2">modInfo!$B$34</definedName>
    <definedName name="Info_TitleFil">modInfo!$B$11</definedName>
    <definedName name="Info_TitleFlagCrossSubsidization">modInfo!$B$8</definedName>
    <definedName name="Info_TitleFlagIstPubl">modInfo!$B$9</definedName>
    <definedName name="Info_TitleFlagTwoPartTariff">modInfo!$B$7</definedName>
    <definedName name="Info_TitleGroupRates">modInfo!$B$5</definedName>
    <definedName name="Info_TitleKindPublication">modInfo!$B$3</definedName>
    <definedName name="Info_TitleKindsOfGoods">modInfo!$B$6</definedName>
    <definedName name="Info_TitlePublication">modInfo!$B$2</definedName>
    <definedName name="Info_TitleType">modInfo!$B$10</definedName>
    <definedName name="inn">Титульный!$F$33</definedName>
    <definedName name="IP_CLAIM_LIST">TEHSHEET!$AZ$20:$AZ$26</definedName>
    <definedName name="IP_DETAILED_ADD_HL_EVENT_COLUMN_MARKER">'ИП. Детализация'!$I$7</definedName>
    <definedName name="IP_DETAILED_ADD_HL_IST_FIN_COLUMN_MARKER">'ИП. Детализация'!$AB$7</definedName>
    <definedName name="IP_DETAILED_ADD_HL_OBJECT_COLUMN_MARKER">'ИП. Детализация'!$P$7</definedName>
    <definedName name="IP_DETAILED_DATA_KS">'ИП. Детализация'!$M$7</definedName>
    <definedName name="IP_DETAILED_EVENT_MARKER">'ИП. Детализация'!$K$7:$Y$7</definedName>
    <definedName name="IP_DETAILED_EVENT_SUBGROUP_COLUMN_MARKER">'ИП. Детализация'!$J$7</definedName>
    <definedName name="IP_DETAILED_EVENT_SUBGROUP_RANGE_COLUMN_MARKER">'ИП. Детализация'!$B$7</definedName>
    <definedName name="IP_DETAILED_FLAG_KS">'ИП. Детализация'!$L$7</definedName>
    <definedName name="IP_DETAILED_FLAG_OBJECT">'ИП. Детализация'!$P$13</definedName>
    <definedName name="IP_DETAILED_GROUP_MARKER">'ИП. Детализация'!$I$7:$J$7</definedName>
    <definedName name="IP_DETAILED_IST_FIN_FACT_COLUMN_MARKER">'ИП. Детализация'!$AD$7</definedName>
    <definedName name="IP_DETAILED_LIST_IP_ID">'ИП. Детализация'!$A$14:$A$14</definedName>
    <definedName name="IP_DETAILED_MONTH_FACT_COLUMN_MARKER">'ИП. Детализация'!$AJ$7</definedName>
    <definedName name="IP_DETAILED_MONTH_PLAN_COLUMN_MARKER">'ИП. Детализация'!$AG$7</definedName>
    <definedName name="IP_DETAILED_NAME_EVENT_COLUMN_MARKER">'ИП. Детализация'!$K$7</definedName>
    <definedName name="IP_DETAILED_YEAR_FACT_COLUMN_MARKER">'ИП. Детализация'!$AK$7</definedName>
    <definedName name="IP_DETAILED_YEAR_PLAN_COLUMN_MARKER">'ИП. Детализация'!$AH$7</definedName>
    <definedName name="IP_FIN_PLAN_LIST_ID_MARKER_ROW">'ИП. Финансовый план'!$E$8</definedName>
    <definedName name="IP_FIN_PLAN_NAME_IP_MARKER_ROW">'ИП. Финансовый план'!$E$11</definedName>
    <definedName name="IP_FIN_PLAN_YEAR_MARKER_ROW">'ИП. Финансовый план'!$E$12</definedName>
    <definedName name="IP_ID">TEHSHEET!$E$58</definedName>
    <definedName name="IP_MAIN_ADD_HL_PROPERTY_COLUMN_MARKER">ИП!$AB$7</definedName>
    <definedName name="IP_MAIN_APPROVAL_DATE">ИП!$I$11:$I$13</definedName>
    <definedName name="IP_MAIN_CHANGE_DATE">ИП!$J$11:$J$13</definedName>
    <definedName name="IP_MAIN_CLAIM">ИП!$K$11:$K$13</definedName>
    <definedName name="IP_MAIN_DATE_PARKING">ИП!$L$5</definedName>
    <definedName name="IP_MAIN_DELETE_HL_COLUMN_MARKER">ИП!$E$7</definedName>
    <definedName name="IP_MAIN_DIFFERENTIATION_EVENTS_FLAG">ИП!$H$11:$H$13</definedName>
    <definedName name="IP_MAIN_END_DATE">ИП!$O$11:$O$13</definedName>
    <definedName name="IP_MAIN_FLAG_KS">ИП!$Y$11:$Y$13</definedName>
    <definedName name="IP_MAIN_FLAG_KS_COLUMN_MARKER">ИП!$Y$7</definedName>
    <definedName name="IP_MAIN_IP_FIN_PLAN_VISIBLE_FLAG">ИП!$H$15</definedName>
    <definedName name="IP_MAIN_LIST_IP_ID">ИП!$AD$11:$AD$13</definedName>
    <definedName name="IP_MAIN_LIST_NAME_IP">ИП!$G$11:$G$13</definedName>
    <definedName name="IP_MAIN_PERIOD_REALIZ_DATE">ИП!$P$11:$P$13</definedName>
    <definedName name="IP_MAIN_PR_IP_CHANGE_DATE">ИП!$X$11:$X$13</definedName>
    <definedName name="IP_MAIN_PR_IP_DATE">ИП!$T$11:$T$13</definedName>
    <definedName name="IP_MAIN_PR_IP_NAME">ИП!$Q$11:$Q$13</definedName>
    <definedName name="IP_MAIN_PR_IP_NUMBER">ИП!$S$11:$S$13</definedName>
    <definedName name="IP_MAIN_PR_IP_TYPE">ИП!$R$11:$R$13</definedName>
    <definedName name="IP_MAIN_START_DATE">ИП!$N$11:$N$13</definedName>
    <definedName name="IP_NAME_FORM">DATA_FORMS!$C$32</definedName>
    <definedName name="IP_QRE_ADD_HL_CLAIM_COLUMN_MARKER">'ИП. КНЭ'!$G$7</definedName>
    <definedName name="IP_QRE_ADD_HL_COLUMN_MARKER">'ИП. КНЭ'!$G$8</definedName>
    <definedName name="IP_QRE_DELETE_HL_COLUMN_MARKER">'ИП. КНЭ'!$E$8</definedName>
    <definedName name="IP_QRE_LIST_IP_ID">'ИП. КНЭ'!$A$18:$A$20</definedName>
    <definedName name="IP_QRE_NUM_COLUMN_MARKER">'ИП. КНЭ'!$F$8</definedName>
    <definedName name="IP_QRE_OTKO_FEATURES_BLOCK">'ИП. КНЭ'!$DY$8</definedName>
    <definedName name="IP_QRE_VOTV_FEATURES_BLOCK">'ИП. КНЭ'!$CY$8:$DX$8</definedName>
    <definedName name="IP_QRE_VSNA_FEATURES_BLOCK">'ИП. КНЭ'!$BT$8:$CX$8</definedName>
    <definedName name="IP_QRE_WARM_FEATURES_BLOCK">'ИП. КНЭ'!$O$8:$BS$8</definedName>
    <definedName name="IST_TE_ID">TEHSHEET!$E$64</definedName>
    <definedName name="kind_group_rates">TEHSHEET!$X$2:$X$14</definedName>
    <definedName name="kind_group_rates_load">TEHSHEET!$AP$2:$AP$11</definedName>
    <definedName name="kind_group_rates_load_ETS">TEHSHEET!$AP$2:$AP$11</definedName>
    <definedName name="kind_group_rates_load_filter">TEHSHEET!$AQ$2:$AQ$11</definedName>
    <definedName name="kind_group_rates_load_filter_ETS">TEHSHEET!$AQ$2:$AQ$11</definedName>
    <definedName name="kind_of_activity_WARM">TEHSHEET!$N$2:$N$8</definedName>
    <definedName name="kind_of_cons">TEHSHEET!$R$2:$R$6</definedName>
    <definedName name="kind_of_control_method">TEHSHEET!$K$2:$K$5</definedName>
    <definedName name="kind_of_control_method_filter">TEHSHEET!$L$2:$L$5</definedName>
    <definedName name="kind_of_data_type">TEHSHEET!$P$2:$P$3</definedName>
    <definedName name="kind_of_diameters">TEHSHEET!$T$2:$T$6</definedName>
    <definedName name="kind_of_diameters2">TEHSHEET!$AU$2:$AU$8</definedName>
    <definedName name="kind_of_diff">TEHSHEET!$AS$2:$AS$4</definedName>
    <definedName name="kind_of_fuel">TEHSHEET!$AK$2:$AK$9</definedName>
    <definedName name="kind_of_fuels">TEHSHEET!$BB$2:$BB$29</definedName>
    <definedName name="kind_of_heat_transfer">TEHSHEET!$O$2:$O$12</definedName>
    <definedName name="kind_of_heat_transfer2">TEHSHEET!$AH$2:$AH$7</definedName>
    <definedName name="kind_of_heat_transfer3">TEHSHEET!$AI$2:$AI$3</definedName>
    <definedName name="kind_of_load">TEHSHEET!$U$2:$U$7</definedName>
    <definedName name="kind_of_load2">TEHSHEET!$U$2:$U$4</definedName>
    <definedName name="kind_of_load3">TEHSHEET!$AF$2:$AF$5</definedName>
    <definedName name="kind_of_load4">TEHSHEET!$U$2:$U$5</definedName>
    <definedName name="kind_of_NDS">TEHSHEET!$H$2:$H$8</definedName>
    <definedName name="kind_of_NDS_tariff">TEHSHEET!$H$10:$H$11</definedName>
    <definedName name="kind_of_NDS_tariff_people">TEHSHEET!$H$16:$H$17</definedName>
    <definedName name="kind_of_nets">TEHSHEET!$S$2:$S$4</definedName>
    <definedName name="kind_of_org_type">TEHSHEET!$AZ$2:$AZ$5</definedName>
    <definedName name="kind_of_power_te_unit">TEHSHEET!$J$11:$J$12</definedName>
    <definedName name="kind_of_publication">TEHSHEET!$G$2:$G$3</definedName>
    <definedName name="kind_of_purchase_method">TEHSHEET!$K$11:$K$13</definedName>
    <definedName name="kind_of_scheme_in">TEHSHEET!$Q$2:$Q$5</definedName>
    <definedName name="kind_of_scheme_in2">TEHSHEET!$Q$3:$Q$5</definedName>
    <definedName name="kind_of_tariff_RHEAT">TEHSHEET!$E$19:$E$20</definedName>
    <definedName name="kind_of_tariff_unit">TEHSHEET!$J$7:$J$8</definedName>
    <definedName name="kind_of_unit">TEHSHEET!$J$2:$J$4</definedName>
    <definedName name="kind_of_volume_te_unit">TEHSHEET!$J$15:$J$16</definedName>
    <definedName name="kind_of_zak">TEHSHEET!$AM$2:$AM$7</definedName>
    <definedName name="KNE_NAME_FORM">DATA_FORMS!$C$8</definedName>
    <definedName name="kpp">Титульный!$F$34</definedName>
    <definedName name="LINK_RANGE">REESTR_LINK!$B$2:$B$3</definedName>
    <definedName name="List_H">TEHSHEET!$AW$2:$AW$25</definedName>
    <definedName name="List_M">TEHSHEET!$AX$2:$AX$61</definedName>
    <definedName name="LIST_MR_MO_OKTMO">REESTR_MO!$A$2:$D$709</definedName>
    <definedName name="LIST_MR_MO_OKTMO_FILTER">REESTR_MO_FILTER!$A$2:$D$708</definedName>
    <definedName name="ListForms">modSheetMain!$A:$A</definedName>
    <definedName name="logical">TEHSHEET!$D$2:$D$3</definedName>
    <definedName name="MONTH">TEHSHEET!$E$2:$E$13</definedName>
    <definedName name="MONTH_IP_LIST">TEHSHEET!$BF$2:$BF$13</definedName>
    <definedName name="nalog">Титульный!$F$37</definedName>
    <definedName name="name_rates_4">TEHSHEET!$AA$2:$AA$3</definedName>
    <definedName name="name_rates_4_filter">TEHSHEET!$AB$2:$AB$3</definedName>
    <definedName name="name_rates_8">TEHSHEET!$AC$2:$AC$4</definedName>
    <definedName name="name_rates_8_filter">TEHSHEET!$AD$2:$AD$4</definedName>
    <definedName name="NameTemplatesInListMO">TEHSHEET!$K$45</definedName>
    <definedName name="NameTemplatesInTitle">TEHSHEET!$J$45</definedName>
    <definedName name="NameTemplatesInTitleList">TEHSHEET!$J$46:$J$53</definedName>
    <definedName name="NTAR_ID">TEHSHEET!$E$61</definedName>
    <definedName name="OFFER_DPR">Предложение!$L$85</definedName>
    <definedName name="OFFER_METHOD">Предложение!$K$24:$K$83</definedName>
    <definedName name="OFFER_METHOD_FLAG">TEHSHEET!$L$6</definedName>
    <definedName name="OFFER_TARIFF_A_1">Предложение!$24:$26</definedName>
    <definedName name="OFFER_TARIFF_A_2">Предложение!$87:$89</definedName>
    <definedName name="OFFER_TARIFF_A_3">Предложение!$148:$150</definedName>
    <definedName name="OFFER_TARIFF_A_4">Предложение!$209:$211</definedName>
    <definedName name="OFFER_TARIFF_A_5">Предложение!$270:$272</definedName>
    <definedName name="OFFER_TARIFF_A_COLDVSNA_1">Предложение!$51:$53</definedName>
    <definedName name="OFFER_TARIFF_A_COLDVSNA_2">Предложение!$114:$116</definedName>
    <definedName name="OFFER_TARIFF_A_COLDVSNA_3">Предложение!$175:$177</definedName>
    <definedName name="OFFER_TARIFF_A_COLDVSNA_4">Предложение!$236:$238</definedName>
    <definedName name="OFFER_TARIFF_A_COLDVSNA_5">Предложение!$297:$299</definedName>
    <definedName name="OFFER_TARIFF_A_HOTVSNA_1">Предложение!$66:$68</definedName>
    <definedName name="OFFER_TARIFF_A_HOTVSNA_2">Предложение!$129:$131</definedName>
    <definedName name="OFFER_TARIFF_A_HOTVSNA_3">Предложение!$190:$192</definedName>
    <definedName name="OFFER_TARIFF_A_HOTVSNA_4">Предложение!$251:$253</definedName>
    <definedName name="OFFER_TARIFF_A_HOTVSNA_5">Предложение!$312:$314</definedName>
    <definedName name="OFFER_TARIFF_A_VOTV_1">Предложение!$75:$77</definedName>
    <definedName name="OFFER_TARIFF_A_VOTV_2">Предложение!$138:$140</definedName>
    <definedName name="OFFER_TARIFF_A_VOTV_3">Предложение!$199:$201</definedName>
    <definedName name="OFFER_TARIFF_A_VOTV_4">Предложение!$260:$262</definedName>
    <definedName name="OFFER_TARIFF_A_VOTV_5">Предложение!$321:$323</definedName>
    <definedName name="OFFER_TARIFF_B_1">Предложение!$27:$29</definedName>
    <definedName name="OFFER_TARIFF_B_2">Предложение!$90:$92</definedName>
    <definedName name="OFFER_TARIFF_B_3">Предложение!$151:$153</definedName>
    <definedName name="OFFER_TARIFF_B_4">Предложение!$212:$214</definedName>
    <definedName name="OFFER_TARIFF_B_5">Предложение!$273:$275</definedName>
    <definedName name="OFFER_TARIFF_B_COLDVSNA_1">Предложение!$54:$56</definedName>
    <definedName name="OFFER_TARIFF_B_COLDVSNA_2">Предложение!$117:$119</definedName>
    <definedName name="OFFER_TARIFF_B_COLDVSNA_3">Предложение!$178:$180</definedName>
    <definedName name="OFFER_TARIFF_B_COLDVSNA_4">Предложение!$239:$241</definedName>
    <definedName name="OFFER_TARIFF_B_COLDVSNA_5">Предложение!$300:$302</definedName>
    <definedName name="OFFER_TARIFF_B_HOTVSNA_1">Предложение!$69:$71</definedName>
    <definedName name="OFFER_TARIFF_B_HOTVSNA_2">Предложение!$132:$134</definedName>
    <definedName name="OFFER_TARIFF_B_HOTVSNA_3">Предложение!$193:$195</definedName>
    <definedName name="OFFER_TARIFF_B_HOTVSNA_4">Предложение!$254:$256</definedName>
    <definedName name="OFFER_TARIFF_B_HOTVSNA_5">Предложение!$315:$317</definedName>
    <definedName name="OFFER_TARIFF_B_VOTV_1">Предложение!$78:$80</definedName>
    <definedName name="OFFER_TARIFF_B_VOTV_2">Предложение!$141:$143</definedName>
    <definedName name="OFFER_TARIFF_B_VOTV_3">Предложение!$202:$204</definedName>
    <definedName name="OFFER_TARIFF_B_VOTV_4">Предложение!$263:$265</definedName>
    <definedName name="OFFER_TARIFF_B_VOTV_5">Предложение!$324:$326</definedName>
    <definedName name="OFFER_TARIFF_C_1">Предложение!$30:$32</definedName>
    <definedName name="OFFER_TARIFF_C_2">Предложение!$93:$95</definedName>
    <definedName name="OFFER_TARIFF_C_3">Предложение!$154:$156</definedName>
    <definedName name="OFFER_TARIFF_C_4">Предложение!$215:$217</definedName>
    <definedName name="OFFER_TARIFF_C_5">Предложение!$276:$278</definedName>
    <definedName name="OFFER_TARIFF_C_COLDVSNA_1">Предложение!$57:$59</definedName>
    <definedName name="OFFER_TARIFF_C_COLDVSNA_2">Предложение!$120:$122</definedName>
    <definedName name="OFFER_TARIFF_C_COLDVSNA_3">Предложение!$181:$183</definedName>
    <definedName name="OFFER_TARIFF_C_COLDVSNA_4">Предложение!$242:$244</definedName>
    <definedName name="OFFER_TARIFF_C_COLDVSNA_5">Предложение!$303:$305</definedName>
    <definedName name="OFFER_TARIFF_C_HOTVSNA_1">Предложение!$72:$74</definedName>
    <definedName name="OFFER_TARIFF_C_HOTVSNA_2">Предложение!$135:$137</definedName>
    <definedName name="OFFER_TARIFF_C_HOTVSNA_3">Предложение!$196:$198</definedName>
    <definedName name="OFFER_TARIFF_C_HOTVSNA_4">Предложение!$257:$259</definedName>
    <definedName name="OFFER_TARIFF_C_HOTVSNA_5">Предложение!$318:$320</definedName>
    <definedName name="OFFER_TARIFF_C_VOTV_1">Предложение!$81:$83</definedName>
    <definedName name="OFFER_TARIFF_C_VOTV_2">Предложение!$144:$146</definedName>
    <definedName name="OFFER_TARIFF_C_VOTV_3">Предложение!$205:$207</definedName>
    <definedName name="OFFER_TARIFF_C_VOTV_4">Предложение!$266:$268</definedName>
    <definedName name="OFFER_TARIFF_C_VOTV_5">Предложение!$327:$329</definedName>
    <definedName name="OFFER_TARIFF_D_1">Предложение!$33:$35</definedName>
    <definedName name="OFFER_TARIFF_D_2">Предложение!$96:$98</definedName>
    <definedName name="OFFER_TARIFF_D_3">Предложение!$157:$159</definedName>
    <definedName name="OFFER_TARIFF_D_4">Предложение!$218:$220</definedName>
    <definedName name="OFFER_TARIFF_D_5">Предложение!$279:$281</definedName>
    <definedName name="OFFER_TARIFF_D_COLDVSNA_1">Предложение!$60:$62</definedName>
    <definedName name="OFFER_TARIFF_D_COLDVSNA_2">Предложение!$123:$125</definedName>
    <definedName name="OFFER_TARIFF_D_COLDVSNA_3">Предложение!$184:$186</definedName>
    <definedName name="OFFER_TARIFF_D_COLDVSNA_4">Предложение!$245:$247</definedName>
    <definedName name="OFFER_TARIFF_D_COLDVSNA_5">Предложение!$306:$308</definedName>
    <definedName name="OFFER_TARIFF_E_COLDVSNA_1">Предложение!$63:$65</definedName>
    <definedName name="OFFER_TARIFF_E_COLDVSNA_2">Предложение!$126:$128</definedName>
    <definedName name="OFFER_TARIFF_E_COLDVSNA_3">Предложение!$187:$189</definedName>
    <definedName name="OFFER_TARIFF_E_COLDVSNA_4">Предложение!$248:$250</definedName>
    <definedName name="OFFER_TARIFF_E_COLDVSNA_5">Предложение!$309:$311</definedName>
    <definedName name="OFFER_TARIFF_E1_1">Предложение!$36:$38</definedName>
    <definedName name="OFFER_TARIFF_E1_2">Предложение!$99:$101</definedName>
    <definedName name="OFFER_TARIFF_E1_3">Предложение!$160:$162</definedName>
    <definedName name="OFFER_TARIFF_E1_4">Предложение!$221:$223</definedName>
    <definedName name="OFFER_TARIFF_E1_5">Предложение!$282:$284</definedName>
    <definedName name="OFFER_TARIFF_E2_1">Предложение!$39:$41</definedName>
    <definedName name="OFFER_TARIFF_E2_2">Предложение!$102:$104</definedName>
    <definedName name="OFFER_TARIFF_E2_3">Предложение!$163:$165</definedName>
    <definedName name="OFFER_TARIFF_E2_4">Предложение!$224:$226</definedName>
    <definedName name="OFFER_TARIFF_E2_5">Предложение!$285:$287</definedName>
    <definedName name="OFFER_TARIFF_F_1">Предложение!$42:$44</definedName>
    <definedName name="OFFER_TARIFF_F_2">Предложение!$105:$107</definedName>
    <definedName name="OFFER_TARIFF_F_3">Предложение!$166:$168</definedName>
    <definedName name="OFFER_TARIFF_F_4">Предложение!$227:$229</definedName>
    <definedName name="OFFER_TARIFF_F_5">Предложение!$288:$290</definedName>
    <definedName name="OFFER_TARIFF_G_1">Предложение!$45:$47</definedName>
    <definedName name="OFFER_TARIFF_G_2">Предложение!$108:$110</definedName>
    <definedName name="OFFER_TARIFF_G_3">Предложение!$169:$171</definedName>
    <definedName name="OFFER_TARIFF_G_4">Предложение!$230:$232</definedName>
    <definedName name="OFFER_TARIFF_G_5">Предложение!$291:$293</definedName>
    <definedName name="OFFER_TARIFF_H_1">Предложение!$48:$50</definedName>
    <definedName name="org">Титульный!$F$31</definedName>
    <definedName name="Org_Address">Титульный!$F$64:$F$64</definedName>
    <definedName name="ORG_END_DATE">TEHSHEET!$F$29</definedName>
    <definedName name="ORG_INFO_DATE_OGRN">'Общая информация об организации'!$F$17</definedName>
    <definedName name="ORG_INFO_DATE_PARKING">'Общая информация об организации'!$G$4</definedName>
    <definedName name="ORG_INFO_DATE_UNI_TS">'Общая информация об организации'!$F$21</definedName>
    <definedName name="ORG_INFO_EMAIL">'Общая информация об организации'!$F$44</definedName>
    <definedName name="ORG_INFO_ET">'Общая информация об организации'!$F$20:$F$24</definedName>
    <definedName name="ORG_INFO_ET_CYAN">'Общая информация об организации'!$F$20:$F$23</definedName>
    <definedName name="ORG_INFO_FLAG_INVEST">'Общая информация об организации'!$F$51</definedName>
    <definedName name="ORG_INFO_NAME_FORM">DATA_FORMS!$C$4</definedName>
    <definedName name="ORG_INFO_P_NOTE_MAIN">DATA_NPA!$N$3</definedName>
    <definedName name="ORG_INFO_RESP_EMAIL">'Общая информация об организации'!$F$32</definedName>
    <definedName name="ORG_INFO_URL">'Общая информация об организации'!$F$43</definedName>
    <definedName name="Org_main">Титульный!$F$65</definedName>
    <definedName name="ORG_START_DATE">TEHSHEET!$E$29</definedName>
    <definedName name="ORG_TERRITORY_FIRST_MO">'Сведения по территориям'!$G$12</definedName>
    <definedName name="ORG_TERRITORY_FLAG_INTERNET">'Сведения по территориям'!$J$11:$J$13</definedName>
    <definedName name="ORG_TERRITORY_LINK">'Сведения по территориям'!$K$11:$K$13</definedName>
    <definedName name="ORG_TERRITORY_NAME_COL">'Сведения по территориям'!$G$1:$I$1</definedName>
    <definedName name="ORG_TERRITORY_POINT_NUMBER_1">'Сведения по территориям'!$A:$A</definedName>
    <definedName name="ORG_VD_EM">'Общая информация по ВД'!$K$11:$K$13</definedName>
    <definedName name="ORG_VD_FIRST_ROW">'Общая информация по ВД'!$12:$12</definedName>
    <definedName name="ORG_VD_FIRST_SYSTEM">'Общая информация по ВД'!$E$12</definedName>
    <definedName name="ORG_VD_NAME_FORM">DATA_FORMS!$C$31</definedName>
    <definedName name="ORG_VD_SYSTEM">'Общая информация по ВД'!$E$11:$E$13</definedName>
    <definedName name="ORG_VD_TKO_ADD_HL_ACTIVITY_COLUMN_MARKER">'Виды объектов'!$E$9</definedName>
    <definedName name="ORG_VD_TKO_ADD_HL_TYPE_OBJECT_COLUMN_MARKER">'Виды объектов'!$H$9</definedName>
    <definedName name="ORG_VD_TKO_DEL_HL_ACTIVITY_COLUMN_MARKER">'Виды объектов'!$C$9</definedName>
    <definedName name="ORG_VD_TKO_DEL_HL_TYPE_OBJECT_COLUMN_MARKER">'Виды объектов'!$F$9</definedName>
    <definedName name="ORG_VD_TKO_VD">'Виды объектов'!$E$13:$E$16</definedName>
    <definedName name="ORG_VD_TKO_VD_ID">'Виды объектов'!$O$13:$O$16</definedName>
    <definedName name="ORG_VD_VD">'Общая информация по ВД'!$F$11:$F$13</definedName>
    <definedName name="ORG_VD_VD_ID">'Общая информация по ВД'!$AM$11:$AM$13</definedName>
    <definedName name="OTKO_FIN_SRC_LIST">TEHSHEET!$BN$4:$BN$18</definedName>
    <definedName name="OTKO_FIN_SRC_VLD_LIST">TEHSHEET!$BN$39:$BN$48</definedName>
    <definedName name="OTKO_IP_EVENT_CI_STAGE_LIST">TEHSHEET!$BN$97:$BN$104</definedName>
    <definedName name="OTKO_IP_EVENT_GROUP_LIST">TEHSHEET!$BN$69:$BN$74</definedName>
    <definedName name="OTKO_IP_EVENT_TYPE_LIST">TEHSHEET!$BN$108</definedName>
    <definedName name="otv_lico_name">Титульный!$F$67:$F$70</definedName>
    <definedName name="P_T_TERMS_LINK">Договоры!$F$12:$F$22</definedName>
    <definedName name="pCng_P_T_TERMS_1">Договоры!$E$14:$E$15</definedName>
    <definedName name="pCng_P_T_TERMS_2">Договоры!$E$17:$E$18</definedName>
    <definedName name="pCng_P_T_TERMS_3">Договоры!$E$21:$E$22</definedName>
    <definedName name="pCng_P_T_TERMS_4">Договоры!$E$25:$E$26</definedName>
    <definedName name="pDel_B_STANDARTS">'Стандарты качества'!$H$12:$H$13</definedName>
    <definedName name="pDel_CHANGE_INFO">'Сведения об изменении'!$C$12:$C$13</definedName>
    <definedName name="pDel_Comm">Комментарии!$C$11:$C$12</definedName>
    <definedName name="pDel_DIFFERENTIATION_AREA">Дифференциация!$G$12:$G$16</definedName>
    <definedName name="pDel_DIFFERENTIATION_SYSTEM">Дифференциация!$K$12:$K$16</definedName>
    <definedName name="pDel_DIFFERENTIATION_VD">Дифференциация!$C$12:$C$16</definedName>
    <definedName name="pDel_ED">ЭД!$C$12:$C$13</definedName>
    <definedName name="pDel_IP_DETAILED_EVENT">'ИП. Детализация'!$G$13</definedName>
    <definedName name="pDel_IP_DETAILED_IST_FIN">'ИП. Детализация'!$Z$13</definedName>
    <definedName name="pDel_IP_DETAILED_OBJECT">'ИП. Детализация'!$N$13</definedName>
    <definedName name="pDel_IP_MAIN">ИП!$E$11:$E$13</definedName>
    <definedName name="pDel_IP_MAIN_PROPERTY">ИП!$Z$11:$Z$13</definedName>
    <definedName name="pDel_IP_QRE_CLAIM">'ИП. КНЭ'!$E$18:$E$20</definedName>
    <definedName name="pDel_List07">'Сведения об изменении'!$C$11:$C$13</definedName>
    <definedName name="pDel_LT_AREA">'Список территорий'!$C$12:$C$15</definedName>
    <definedName name="pDel_LT_MO">'Список территорий'!$D$11:$D$15</definedName>
    <definedName name="pDel_ORG_INFO">'Общая информация об организации'!$C$40:$C$50</definedName>
    <definedName name="pDel_ORG_TERRITORY">'Сведения по территориям'!$D$11:$D$13</definedName>
    <definedName name="pDel_ORG_VD">'Общая информация по ВД'!$C$11:$C$13</definedName>
    <definedName name="pDel_P_PROCEDURE_TC">'Порядок ТП'!$C$26:$C$40</definedName>
    <definedName name="pDel_P_T_TERMS">Договоры!$C$14:$C$26</definedName>
    <definedName name="pDel_Q_LIMIT">Ограничения!$C$31</definedName>
    <definedName name="pDel_Q_TP">ТП!$C$14</definedName>
    <definedName name="pDel_R_B_Purch">'Сведения о закупках'!$C$13:$C$14</definedName>
    <definedName name="periodEnd">Титульный!$F$12</definedName>
    <definedName name="PeriodIsEmpty">TEHSHEET!$I$45</definedName>
    <definedName name="PeriodIsEmptyList">TEHSHEET!$I$46:$I$53</definedName>
    <definedName name="periodStart">Титульный!$F$11</definedName>
    <definedName name="pHeader_B_FHD">'Показатели ФХД'!$29:$29</definedName>
    <definedName name="pHeader_B_FHD_TKO">'ТКО. Показатели ФХД'!$14:$14</definedName>
    <definedName name="pHeader_B_FHD_TKO_TRANS">'ТКО. Транс. Показатели ФХД'!$14:$14</definedName>
    <definedName name="pHeader_B_KNE">'Показатели КНЭ'!$11:$11</definedName>
    <definedName name="pHeader_B_OTEP">'Показатели ОТЭП'!$14:$14</definedName>
    <definedName name="pHeader_Q_LIMIT">Ограничения!$30:$30</definedName>
    <definedName name="pHeader_Q_PH">'Потребительские характеристики'!$13:$13</definedName>
    <definedName name="pHeader_Q_TP">ТП!$13:$13</definedName>
    <definedName name="pHeader_ver_B_FHD">'Показатели ФХД'!$C:$C</definedName>
    <definedName name="pHeader_ver_B_FHD_TKO">'ТКО. Показатели ФХД'!$C:$C</definedName>
    <definedName name="pHeader_ver_B_FHD_TKO_TRANS">'ТКО. Транс. Показатели ФХД'!$C:$C</definedName>
    <definedName name="pHeader_ver_B_KNE">'Показатели КНЭ'!$B:$B</definedName>
    <definedName name="pHeader_ver_B_OTEP">'Показатели ОТЭП'!$G:$G</definedName>
    <definedName name="pHeader_ver_P_PROCEDURE_TC">'Порядок ТП'!$A$21:$A$40</definedName>
    <definedName name="pHeader_ver_Q_LIMIT">Ограничения!$E:$E</definedName>
    <definedName name="pIns_B_FHD_1">'Показатели ФХД'!$F$40</definedName>
    <definedName name="pIns_B_FHD_2">'Показатели ФХД'!$F$71</definedName>
    <definedName name="pIns_B_FHD_3">'Показатели ФХД'!$F$101</definedName>
    <definedName name="pIns_B_FHD_4">'Показатели ФХД'!$F$119</definedName>
    <definedName name="pIns_B_FHD_5">'Показатели ФХД'!$F$122</definedName>
    <definedName name="pIns_B_FHD_6">'Показатели ФХД'!$F$125</definedName>
    <definedName name="pIns_B_FHD_DIFFERENTIATION">'Показатели ФХД'!$J$24</definedName>
    <definedName name="pIns_B_FHD_TKO_2">'ТКО. Показатели ФХД'!$F$34</definedName>
    <definedName name="pIns_B_FHD_TKO_DIFFERENTIATION">'ТКО. Показатели ФХД'!$J$9</definedName>
    <definedName name="pIns_B_FHD_TKO_TRANS_2">'ТКО. Транс. Показатели ФХД'!$F$29</definedName>
    <definedName name="pIns_B_FHD_TKO_TRANS_DIFFERENTIATION">'ТКО. Транс. Показатели ФХД'!$J$9</definedName>
    <definedName name="pIns_B_FHD20_DIFFERENTIATION">'Показатели ФХД &gt;20%'!$D$23</definedName>
    <definedName name="pIns_B_KNE_DIFFERENTIATION">'Показатели КНЭ'!$K$6</definedName>
    <definedName name="pIns_B_OTEP_2">'Показатели ОТЭП'!$J$18</definedName>
    <definedName name="pIns_B_OTEP_DIFFERENTIATION">'Показатели ОТЭП'!$N$9</definedName>
    <definedName name="pIns_B_STANDARTS">'Стандарты качества'!$J$13</definedName>
    <definedName name="pIns_CHANGE_INFO">'Сведения об изменении'!$E$13</definedName>
    <definedName name="pIns_Comm">Комментарии!$E$12</definedName>
    <definedName name="pIns_ED">ЭД!$E$13</definedName>
    <definedName name="pIns_IP_DETAILED">'ИП. Детализация'!$F$14</definedName>
    <definedName name="pIns_IP_FIN_PLAN">'ИП. Финансовый план'!$K$8</definedName>
    <definedName name="pIns_IP_MAIN">ИП!$G$13</definedName>
    <definedName name="pIns_IP_QRE">'ИП. КНЭ'!$F$21</definedName>
    <definedName name="pIns_List07">'Сведения об изменении'!$E$13</definedName>
    <definedName name="pIns_LT_AREA">'Список территорий'!$G$15</definedName>
    <definedName name="pIns_ORG_INFO_1">'Общая информация об организации'!$E$42</definedName>
    <definedName name="pIns_ORG_INFO_2">'Общая информация об организации'!$E$50</definedName>
    <definedName name="pIns_ORG_INFO_3">'Общая информация об организации'!$E$24</definedName>
    <definedName name="pIns_ORG_TERRITORY">'Сведения по территориям'!$G$13</definedName>
    <definedName name="pIns_ORG_VD_1">'Общая информация по ВД'!$E$13</definedName>
    <definedName name="pIns_ORG_VD_2">'Общая информация по ВД'!$F$13</definedName>
    <definedName name="pIns_ORG_VD_TKO_1">'Виды объектов'!$E$16</definedName>
    <definedName name="pIns_P_PROCEDURE_TC_1">'Порядок ТП'!$E$27</definedName>
    <definedName name="pIns_P_PROCEDURE_TC_2">'Порядок ТП'!$E$30</definedName>
    <definedName name="pIns_P_PROCEDURE_TC_3">'Порядок ТП'!$E$34</definedName>
    <definedName name="pIns_P_PROCEDURE_TC_4">'Порядок ТП'!$E$37</definedName>
    <definedName name="pIns_P_PROCEDURE_TC_5">'Порядок ТП'!$E$40</definedName>
    <definedName name="pIns_P_T_TERMS_1">Договоры!$E$15</definedName>
    <definedName name="pIns_P_T_TERMS_2">Договоры!$E$18</definedName>
    <definedName name="pIns_P_T_TERMS_3">Договоры!$E$22</definedName>
    <definedName name="pIns_P_T_TERMS_4">Договоры!$E$26</definedName>
    <definedName name="pIns_PT_VTAR_A">'ТС. Т-ТЭ | &gt;=25МВт'!$T$57</definedName>
    <definedName name="pIns_PT_VTAR_A_COLDVSNA">'ХВС. Т-пит'!$T$53</definedName>
    <definedName name="pIns_PT_VTAR_A_COLDVSNA_OFFER_1">Предложение!$G$53</definedName>
    <definedName name="pIns_PT_VTAR_A_COLDVSNA_OFFER_2">Предложение!$G$116</definedName>
    <definedName name="pIns_PT_VTAR_A_COLDVSNA_OFFER_3">Предложение!$G$177</definedName>
    <definedName name="pIns_PT_VTAR_A_COLDVSNA_OFFER_4">Предложение!$G$238</definedName>
    <definedName name="pIns_PT_VTAR_A_COLDVSNA_OFFER_5">Предложение!$G$299</definedName>
    <definedName name="pIns_PT_VTAR_A_COLDVSNA_OFFER5">Предложение!$G$299</definedName>
    <definedName name="pIns_PT_VTAR_A_HOTVSNA">'ГВС. Т-гор.вода'!$T$54</definedName>
    <definedName name="pIns_PT_VTAR_A_HOTVSNA_OFFER_1">Предложение!$G$68</definedName>
    <definedName name="pIns_PT_VTAR_A_HOTVSNA_OFFER_2">Предложение!$G$131</definedName>
    <definedName name="pIns_PT_VTAR_A_HOTVSNA_OFFER_3">Предложение!$G$192</definedName>
    <definedName name="pIns_PT_VTAR_A_HOTVSNA_OFFER_4">Предложение!$G$253</definedName>
    <definedName name="pIns_PT_VTAR_A_HOTVSNA_OFFER_5">Предложение!$G$314</definedName>
    <definedName name="pIns_PT_VTAR_A_OFFER_1">Предложение!$G$26</definedName>
    <definedName name="pIns_PT_VTAR_A_OFFER_2">Предложение!$G$89</definedName>
    <definedName name="pIns_PT_VTAR_A_OFFER_3">Предложение!$G$150</definedName>
    <definedName name="pIns_PT_VTAR_A_OFFER_4">Предложение!$G$211</definedName>
    <definedName name="pIns_PT_VTAR_A_OFFER_5">Предложение!$G$272</definedName>
    <definedName name="pIns_PT_VTAR_A_VOTV">'ВО. Т-во'!$T$53</definedName>
    <definedName name="pIns_PT_VTAR_A_VOTV_OFFER_1">Предложение!$G$77</definedName>
    <definedName name="pIns_PT_VTAR_A_VOTV_OFFER_2">Предложение!$G$140</definedName>
    <definedName name="pIns_PT_VTAR_A_VOTV_OFFER_3">Предложение!$G$201</definedName>
    <definedName name="pIns_PT_VTAR_A_VOTV_OFFER_4">Предложение!$G$262</definedName>
    <definedName name="pIns_PT_VTAR_A_VOTV_OFFER_5">Предложение!$G$323</definedName>
    <definedName name="pIns_PT_VTAR_B">'ТС. Т-ТЭ | ТСО'!$T$57</definedName>
    <definedName name="pIns_PT_VTAR_B_COLDVSNA">'ХВС. Т-тех'!$T$53</definedName>
    <definedName name="pIns_PT_VTAR_B_COLDVSNA_OFFER_1">Предложение!$G$56</definedName>
    <definedName name="pIns_PT_VTAR_B_COLDVSNA_OFFER_2">Предложение!$G$119</definedName>
    <definedName name="pIns_PT_VTAR_B_COLDVSNA_OFFER_3">Предложение!$G$180</definedName>
    <definedName name="pIns_PT_VTAR_B_COLDVSNA_OFFER_4">Предложение!$G$241</definedName>
    <definedName name="pIns_PT_VTAR_B_COLDVSNA_OFFER_5">Предложение!$G$302</definedName>
    <definedName name="pIns_PT_VTAR_B_HOTVSNA">'ГВС. Т-транс'!$T$54</definedName>
    <definedName name="pIns_PT_VTAR_B_HOTVSNA_OFFER_1">Предложение!$G$71</definedName>
    <definedName name="pIns_PT_VTAR_B_HOTVSNA_OFFER_2">Предложение!$G$134</definedName>
    <definedName name="pIns_PT_VTAR_B_HOTVSNA_OFFER_3">Предложение!$G$195</definedName>
    <definedName name="pIns_PT_VTAR_B_HOTVSNA_OFFER_4">Предложение!$G$256</definedName>
    <definedName name="pIns_PT_VTAR_B_HOTVSNA_OFFER_5">Предложение!$G$317</definedName>
    <definedName name="pIns_PT_VTAR_B_OFFER_1">Предложение!$G$29</definedName>
    <definedName name="pIns_PT_VTAR_B_OFFER_2">Предложение!$G$92</definedName>
    <definedName name="pIns_PT_VTAR_B_OFFER_3">Предложение!$G$153</definedName>
    <definedName name="pIns_PT_VTAR_B_OFFER_4">Предложение!$G$214</definedName>
    <definedName name="pIns_PT_VTAR_B_OFFER_5">Предложение!$G$275</definedName>
    <definedName name="pIns_PT_VTAR_B_VOTV">'ВО. Т-транс'!$T$53</definedName>
    <definedName name="pIns_PT_VTAR_B_VOTV_OFFER_1">Предложение!$G$80</definedName>
    <definedName name="pIns_PT_VTAR_B_VOTV_OFFER_2">Предложение!$G$143</definedName>
    <definedName name="pIns_PT_VTAR_B_VOTV_OFFER_3">Предложение!$G$204</definedName>
    <definedName name="pIns_PT_VTAR_B_VOTV_OFFER_4">Предложение!$G$265</definedName>
    <definedName name="pIns_PT_VTAR_B_VOTV_OFFER_5">Предложение!$G$326</definedName>
    <definedName name="pIns_PT_VTAR_C">'ТС. Т-ТН'!$T$57</definedName>
    <definedName name="pIns_PT_VTAR_C_COLDVSNA">'ХВС. Т-транс'!$T$53</definedName>
    <definedName name="pIns_PT_VTAR_C_COLDVSNA_OFFER_1">Предложение!$G$59</definedName>
    <definedName name="pIns_PT_VTAR_C_COLDVSNA_OFFER_2">Предложение!$G$122</definedName>
    <definedName name="pIns_PT_VTAR_C_COLDVSNA_OFFER_3">Предложение!$G$183</definedName>
    <definedName name="pIns_PT_VTAR_C_COLDVSNA_OFFER_4">Предложение!$G$244</definedName>
    <definedName name="pIns_PT_VTAR_C_COLDVSNA_OFFER_5">Предложение!$G$305</definedName>
    <definedName name="pIns_PT_VTAR_C_HOTVSNA">'ГВС. Т-подкл'!$T$63</definedName>
    <definedName name="pIns_PT_VTAR_C_HOTVSNA_OFFER_1">Предложение!$G$74</definedName>
    <definedName name="pIns_PT_VTAR_C_HOTVSNA_OFFER_2">Предложение!$G$137</definedName>
    <definedName name="pIns_PT_VTAR_C_HOTVSNA_OFFER_3">Предложение!$G$198</definedName>
    <definedName name="pIns_PT_VTAR_C_HOTVSNA_OFFER_4">Предложение!$G$259</definedName>
    <definedName name="pIns_PT_VTAR_C_HOTVSNA_OFFER_5">Предложение!$G$320</definedName>
    <definedName name="pIns_PT_VTAR_C_OFFER_1">Предложение!$G$32</definedName>
    <definedName name="pIns_PT_VTAR_C_OFFER_2">Предложение!$G$95</definedName>
    <definedName name="pIns_PT_VTAR_C_OFFER_3">Предложение!$G$156</definedName>
    <definedName name="pIns_PT_VTAR_C_OFFER_4">Предложение!$G$217</definedName>
    <definedName name="pIns_PT_VTAR_C_OFFER_5">Предложение!$G$278</definedName>
    <definedName name="pIns_PT_VTAR_C_VOTV">'ВО. Т-подкл'!$T$63</definedName>
    <definedName name="pIns_PT_VTAR_C_VOTV_OFFER_1">Предложение!$G$83</definedName>
    <definedName name="pIns_PT_VTAR_C_VOTV_OFFER_2">Предложение!$G$146</definedName>
    <definedName name="pIns_PT_VTAR_C_VOTV_OFFER_3">Предложение!$G$207</definedName>
    <definedName name="pIns_PT_VTAR_C_VOTV_OFFER_4">Предложение!$G$268</definedName>
    <definedName name="pIns_PT_VTAR_C_VOTV_OFFER_5">Предложение!$G$329</definedName>
    <definedName name="pIns_PT_VTAR_D">'ТС. Т-гор.вода'!$V$65</definedName>
    <definedName name="pIns_PT_VTAR_D_COLDVSNA">'ХВС. Т-подвоз'!$T$53</definedName>
    <definedName name="pIns_PT_VTAR_D_COLDVSNA_OFFER_1">Предложение!$G$62</definedName>
    <definedName name="pIns_PT_VTAR_D_COLDVSNA_OFFER_2">Предложение!$G$125</definedName>
    <definedName name="pIns_PT_VTAR_D_COLDVSNA_OFFER_3">Предложение!$G$186</definedName>
    <definedName name="pIns_PT_VTAR_D_COLDVSNA_OFFER_4">Предложение!$G$247</definedName>
    <definedName name="pIns_PT_VTAR_D_COLDVSNA_OFFER_5">Предложение!$G$308</definedName>
    <definedName name="pIns_PT_VTAR_D_OFFER_1">Предложение!$G$35</definedName>
    <definedName name="pIns_PT_VTAR_D_OFFER_2">Предложение!$G$98</definedName>
    <definedName name="pIns_PT_VTAR_D_OFFER_3">Предложение!$G$159</definedName>
    <definedName name="pIns_PT_VTAR_D_OFFER_4">Предложение!$G$220</definedName>
    <definedName name="pIns_PT_VTAR_D_OFFER_5">Предложение!$G$281</definedName>
    <definedName name="pIns_PT_VTAR_E_COLDVSNA">'ХВС. Т-подкл'!$T$63</definedName>
    <definedName name="pIns_PT_VTAR_E_COLDVSNA_OFFER_1">Предложение!$G$65</definedName>
    <definedName name="pIns_PT_VTAR_E_COLDVSNA_OFFER_2">Предложение!$G$128</definedName>
    <definedName name="pIns_PT_VTAR_E_COLDVSNA_OFFER_3">Предложение!$G$189</definedName>
    <definedName name="pIns_PT_VTAR_E_COLDVSNA_OFFER_4">Предложение!$G$250</definedName>
    <definedName name="pIns_PT_VTAR_E_COLDVSNA_OFFER_5">Предложение!$G$311</definedName>
    <definedName name="pIns_PT_VTAR_E1">'ТС. Т-передача ТЭ'!$T$57</definedName>
    <definedName name="pIns_PT_VTAR_E1_OFFER_1">Предложение!$G$38</definedName>
    <definedName name="pIns_PT_VTAR_E1_OFFER_2">Предложение!$G$101</definedName>
    <definedName name="pIns_PT_VTAR_E1_OFFER_3">Предложение!$G$162</definedName>
    <definedName name="pIns_PT_VTAR_E1_OFFER_4">Предложение!$G$223</definedName>
    <definedName name="pIns_PT_VTAR_E1_OFFER_5">Предложение!$G$284</definedName>
    <definedName name="pIns_PT_VTAR_E2">'ТС. Т-передача ТН'!$T$57</definedName>
    <definedName name="pIns_PT_VTAR_E2_OFFER_1">Предложение!$G$41</definedName>
    <definedName name="pIns_PT_VTAR_E2_OFFER_2">Предложение!$G$104</definedName>
    <definedName name="pIns_PT_VTAR_E2_OFFER_3">Предложение!$G$165</definedName>
    <definedName name="pIns_PT_VTAR_E2_OFFER_4">Предложение!$G$226</definedName>
    <definedName name="pIns_PT_VTAR_E2_OFFER_5">Предложение!$G$287</definedName>
    <definedName name="pIns_PT_VTAR_F">'ТС. Резерв мощности'!$T$57</definedName>
    <definedName name="pIns_PT_VTAR_F_OFFER_1">Предложение!$G$44</definedName>
    <definedName name="pIns_PT_VTAR_F_OFFER_2">Предложение!$G$107</definedName>
    <definedName name="pIns_PT_VTAR_F_OFFER_3">Предложение!$G$168</definedName>
    <definedName name="pIns_PT_VTAR_F_OFFER_4">Предложение!$G$229</definedName>
    <definedName name="pIns_PT_VTAR_F_OFFER_5">Предложение!$G$290</definedName>
    <definedName name="pIns_PT_VTAR_G">'ТС. Т-подкл'!$T$62</definedName>
    <definedName name="pIns_PT_VTAR_G_OFFER_1">Предложение!$G$47</definedName>
    <definedName name="pIns_PT_VTAR_G_OFFER_2">Предложение!$G$110</definedName>
    <definedName name="pIns_PT_VTAR_G_OFFER_3">Предложение!$G$171</definedName>
    <definedName name="pIns_PT_VTAR_G_OFFER_4">Предложение!$G$232</definedName>
    <definedName name="pIns_PT_VTAR_G_OFFER_5">Предложение!$G$293</definedName>
    <definedName name="pIns_PT_VTAR_H">'ТС. Т-подкл(инд)'!$T$56</definedName>
    <definedName name="pIns_PT_VTAR_H_OFFER_1">Предложение!$G$50</definedName>
    <definedName name="pIns_PT_VTAR_H_OFFER_2">Предложение!$G$113</definedName>
    <definedName name="pIns_PT_VTAR_H_OFFER_3">Предложение!$G$174</definedName>
    <definedName name="pIns_PT_VTAR_H_OFFER_4">Предложение!$G$235</definedName>
    <definedName name="pIns_PT_VTAR_H_OFFER_5">Предложение!$G$296</definedName>
    <definedName name="pIns_PT_VTAR_I">'ТС. Т-ТЭ | предел'!$T$57</definedName>
    <definedName name="pIns_PT_VTAR_I_1">'ТС. Т-ТЭ | индикат'!$T$57</definedName>
    <definedName name="pIns_Q_LIMIT_1">Ограничения!$E$33</definedName>
    <definedName name="pIns_Q_LIMIT_2">Ограничения!$E$35</definedName>
    <definedName name="pIns_Q_LIMIT_3">Ограничения!$E$37</definedName>
    <definedName name="pIns_Q_LIMIT_4">Ограничения!$E$39</definedName>
    <definedName name="pIns_Q_LIMIT_DIFFERENTIATION">Ограничения!$K$25</definedName>
    <definedName name="pIns_Q_PH_DIFFERENTIATION">'Потребительские характеристики'!$K$8</definedName>
    <definedName name="pIns_Q_TP_1">ТП!$E$22</definedName>
    <definedName name="pIns_Q_TP_DIFFERENTIATION">ТП!$I$8</definedName>
    <definedName name="pIns_R_B_Purch_1">'Сведения о закупках'!$E$14</definedName>
    <definedName name="pIns_ROIV_CASE_case">'Дела об установлении тарифов'!$F$11</definedName>
    <definedName name="pIns_ROIV_CASE_PUC_case">'Дела об утверждении ПУЦ'!$F$11</definedName>
    <definedName name="pIns_ROIV_INFO_phone">'Орган регулирования'!$E$21</definedName>
    <definedName name="pIns_ROIV_ORG_org">'Перечень организаций'!$F$10</definedName>
    <definedName name="pIns_ROIV_OTV_org">'Привлечение к ответственности'!$F$15</definedName>
    <definedName name="pIns_ver_COLDVSNA_TARIFF_A_COLDVSNA">'ХВС. Т-пит'!$AJ$37</definedName>
    <definedName name="pIns_ver_COLDVSNA_TARIFF_B_COLDVSNA">'ХВС. Т-тех'!$AJ$37</definedName>
    <definedName name="pIns_ver_COLDVSNA_TARIFF_C_COLDVSNA">'ХВС. Т-транс'!$AJ$37</definedName>
    <definedName name="pIns_ver_COLDVSNA_TARIFF_D_COLDVSNA">'ХВС. Т-подвоз'!$AJ$37</definedName>
    <definedName name="pIns_ver_COLDVSNA_TARIFF_E_COLDVSNA">'ХВС. Т-подкл'!$BB$41</definedName>
    <definedName name="pIns_ver_HEAT_TARIFF_A">'ТС. Т-ТЭ | &gt;=25МВт'!$AL$39</definedName>
    <definedName name="pIns_ver_HEAT_TARIFF_B">'ТС. Т-ТЭ | ТСО'!$AL$39</definedName>
    <definedName name="pIns_ver_HEAT_TARIFF_C">'ТС. Т-ТН'!$AL$39</definedName>
    <definedName name="pIns_ver_HEAT_TARIFF_D">'ТС. Т-гор.вода'!$AP$43</definedName>
    <definedName name="pIns_ver_HEAT_TARIFF_E1">'ТС. Т-передача ТЭ'!$AL$39</definedName>
    <definedName name="pIns_ver_HEAT_TARIFF_E2">'ТС. Т-передача ТН'!$AL$39</definedName>
    <definedName name="pIns_ver_HEAT_TARIFF_F">'ТС. Резерв мощности'!$AL$39</definedName>
    <definedName name="pIns_ver_HEAT_TARIFF_G">'ТС. Т-подкл'!$AT$40</definedName>
    <definedName name="pIns_ver_HEAT_TARIFF_H">'ТС. Т-подкл(инд)'!$AJ$37</definedName>
    <definedName name="pIns_ver_HEAT_TARIFF_I">'ТС. Т-ТЭ | предел'!$AL$39</definedName>
    <definedName name="pIns_ver_HEAT_TARIFF_I_1">'ТС. Т-ТЭ | индикат'!$AL$39</definedName>
    <definedName name="pIns_ver_HOTVSNA_TARIFF_A_HOTVSNA">'ГВС. Т-гор.вода'!$AR$37</definedName>
    <definedName name="pIns_ver_HOTVSNA_TARIFF_B_HOTVSNA">'ГВС. Т-транс'!$AR$37</definedName>
    <definedName name="pIns_ver_HOTVSNA_TARIFF_C_HOTVSNA">'ГВС. Т-подкл'!$BB$41</definedName>
    <definedName name="pIns_ver_VOTV_TARIFF_A_VOTV">'ВО. Т-во'!$AJ$37</definedName>
    <definedName name="pIns_ver_VOTV_TARIFF_B_VOTV">'ВО. Т-транс'!$AJ$37</definedName>
    <definedName name="pIns_ver_VOTV_TARIFF_C_VOTV">'ВО. Т-подкл'!$BB$41</definedName>
    <definedName name="pNote_LIMIT">Ограничения!$K$26</definedName>
    <definedName name="pNote_Q_PH">'Потребительские характеристики'!$K$9</definedName>
    <definedName name="pNum_Q_LIMIT">Ограничения!$D$31</definedName>
    <definedName name="PROCEDURE_TC_NAME_FORM">DATA_FORMS!$C$30</definedName>
    <definedName name="PT_ADD_HL_CS_COLUMN_MARKER">'Перечень тарифов'!$R$8</definedName>
    <definedName name="PT_ADD_HL_IST_TE_COLUMN_MARKER">'Перечень тарифов'!$V$8</definedName>
    <definedName name="PT_ADD_HL_NTAR_COLUMN_MARKER">'Перечень тарифов'!$J$8</definedName>
    <definedName name="PT_ADD_HL_TER_COLUMN_MARKER">'Перечень тарифов'!$N$8</definedName>
    <definedName name="PT_ADD_HL_VTAR_COLUMN_MARKER">'Перечень тарифов'!$E$8</definedName>
    <definedName name="pt_cs_1">'ТС. Т-ТЭ | &gt;=25МВт'!$45:$54</definedName>
    <definedName name="pt_cs_10">'ХВС. Т-тех'!$43:$50</definedName>
    <definedName name="pt_cs_11">'ХВС. Т-транс'!$43:$50</definedName>
    <definedName name="pt_cs_12">'ХВС. Т-подвоз'!$43:$50</definedName>
    <definedName name="pt_cs_13">'ХВС. Т-подкл'!$48:$60</definedName>
    <definedName name="pt_cs_14">'ГВС. Т-гор.вода'!$44:$51</definedName>
    <definedName name="pt_cs_15">'ГВС. Т-транс'!$44:$51</definedName>
    <definedName name="pt_cs_16">'ГВС. Т-подкл'!$48:$60</definedName>
    <definedName name="pt_cs_17">'ВО. Т-во'!$43:$50</definedName>
    <definedName name="pt_cs_18">'ВО. Т-транс'!$43:$50</definedName>
    <definedName name="pt_cs_19">'ВО. Т-подкл'!$48:$60</definedName>
    <definedName name="pt_cs_2">'ТС. Т-ТЭ | ТСО'!$45:$54</definedName>
    <definedName name="pt_cs_20">'ТС. Т-подкл(инд)'!$44:$52</definedName>
    <definedName name="pt_cs_21">'ТС. Т-ТЭ | предел'!$45:$54</definedName>
    <definedName name="pt_cs_21_1">'ТС. Т-ТЭ | индикат'!$45:$54</definedName>
    <definedName name="pt_cs_3">'ТС. Т-ТН'!$45:$54</definedName>
    <definedName name="pt_cs_4">'ТС. Т-гор.вода'!$51:$62</definedName>
    <definedName name="pt_cs_5">'ТС. Т-передача ТЭ'!$45:$54</definedName>
    <definedName name="pt_cs_6">'ТС. Т-передача ТН'!$45:$54</definedName>
    <definedName name="pt_cs_7">'ТС. Резерв мощности'!$45:$54</definedName>
    <definedName name="pt_cs_8">'ТС. Т-подкл'!$47:$58</definedName>
    <definedName name="pt_cs_9">'ХВС. Т-пит'!$43:$50</definedName>
    <definedName name="PT_DEL_HL_CS_COLUMN_MARKER">'Перечень тарифов'!$P$8</definedName>
    <definedName name="PT_DEL_HL_IST_TE_COLUMN_MARKER">'Перечень тарифов'!$T$8</definedName>
    <definedName name="PT_DEL_HL_NTAR_COLUMN_MARKER">'Перечень тарифов'!$H$8</definedName>
    <definedName name="PT_DEL_HL_TER_COLUMN_MARKER">'Перечень тарифов'!$L$8</definedName>
    <definedName name="PT_DEL_HL_VTAR_COLUMN_MARKER">'Перечень тарифов'!$C$8</definedName>
    <definedName name="PT_DIAMETERS_2_LIST">TEHSHEET!$AZ$76:$AZ$82</definedName>
    <definedName name="PT_DIAMETERS_LIST">TEHSHEET!$AZ$60:$AZ$64</definedName>
    <definedName name="PT_DIFFERENTIATION_CS">'Перечень тарифов'!$AL$12:$AL$137</definedName>
    <definedName name="PT_DIFFERENTIATION_CS_ID">'Перечень тарифов'!$AF$12:$AF$137</definedName>
    <definedName name="PT_DIFFERENTIATION_IST_TE">'Перечень тарифов'!$AM$12:$AM$137</definedName>
    <definedName name="PT_DIFFERENTIATION_IST_TE_ID">'Перечень тарифов'!$AG$12:$AG$137</definedName>
    <definedName name="PT_DIFFERENTIATION_NTAR">'Перечень тарифов'!$AJ$12:$AJ$137</definedName>
    <definedName name="PT_DIFFERENTIATION_NTAR_ID">'Перечень тарифов'!$AD$12:$AD$137</definedName>
    <definedName name="PT_DIFFERENTIATION_NUM_CS">'Перечень тарифов'!$AP$12:$AP$137</definedName>
    <definedName name="PT_DIFFERENTIATION_NUM_IST_TE">'Перечень тарифов'!$AQ$12:$AQ$137</definedName>
    <definedName name="PT_DIFFERENTIATION_NUM_NTAR">'Перечень тарифов'!$AN$12:$AN$137</definedName>
    <definedName name="PT_DIFFERENTIATION_NUM_TER">'Перечень тарифов'!$AO$12:$AO$137</definedName>
    <definedName name="PT_DIFFERENTIATION_TER">'Перечень тарифов'!$AK$12:$AK$137</definedName>
    <definedName name="PT_DIFFERENTIATION_TER_ID">'Перечень тарифов'!$AE$12:$AE$137</definedName>
    <definedName name="PT_DIFFERENTIATION_VDET">'Перечень тарифов'!$AI$12:$AI$137</definedName>
    <definedName name="PT_DIFFERENTIATION_VTAR">'Перечень тарифов'!$AH$12:$AH$137</definedName>
    <definedName name="PT_DIFFERENTIATION_VTAR_ID">'Перечень тарифов'!$AC$12:$AC$137</definedName>
    <definedName name="PT_FLAG_CS_COLUMN_MARKER">'Перечень тарифов'!$O$8</definedName>
    <definedName name="PT_FLAG_IST_TE_COLUMN_MARKER">'Перечень тарифов'!$S$8</definedName>
    <definedName name="PT_FLAG_TER_COLUMN_MARKER">'Перечень тарифов'!$K$8</definedName>
    <definedName name="PT_FLAG_VTAR_COLUMN_MARKER">'Перечень тарифов'!$F$8</definedName>
    <definedName name="PT_GROUP_CONSUMER_LIST">TEHSHEET!$AZ$29:$AZ$33</definedName>
    <definedName name="PT_HEAT_PRICE_INDICATORS_LEVEL">'Перечень тарифов'!$F$63</definedName>
    <definedName name="pt_ist_te_1">'ТС. Т-ТЭ | &gt;=25МВт'!$46:$53</definedName>
    <definedName name="pt_ist_te_2">'ТС. Т-ТЭ | ТСО'!$46:$53</definedName>
    <definedName name="pt_ist_te_20">'ТС. Т-подкл(инд)'!$45:$51</definedName>
    <definedName name="pt_ist_te_21">'ТС. Т-ТЭ | предел'!$46:$53</definedName>
    <definedName name="pt_ist_te_21_1">'ТС. Т-ТЭ | индикат'!$46:$53</definedName>
    <definedName name="pt_ist_te_3">'ТС. Т-ТН'!$46:$53</definedName>
    <definedName name="pt_ist_te_4">'ТС. Т-гор.вода'!$52:$61</definedName>
    <definedName name="pt_ist_te_5">'ТС. Т-передача ТЭ'!$46:$53</definedName>
    <definedName name="pt_ist_te_6">'ТС. Т-передача ТН'!$46:$53</definedName>
    <definedName name="pt_ist_te_7">'ТС. Резерв мощности'!$46:$53</definedName>
    <definedName name="pt_ist_te_8">'ТС. Т-подкл'!$48:$57</definedName>
    <definedName name="PT_LOAD_LIST">TEHSHEET!$AZ$67:$AZ$72</definedName>
    <definedName name="PT_NETS_LIST">TEHSHEET!$AZ$55:$AZ$57</definedName>
    <definedName name="pt_ntar_1">'ТС. Т-ТЭ | &gt;=25МВт'!$43:$56</definedName>
    <definedName name="pt_ntar_10">'ХВС. Т-тех'!$41:$52</definedName>
    <definedName name="pt_ntar_11">'ХВС. Т-транс'!$41:$52</definedName>
    <definedName name="pt_ntar_12">'ХВС. Т-подвоз'!$41:$52</definedName>
    <definedName name="pt_ntar_13">'ХВС. Т-подкл'!$46:$62</definedName>
    <definedName name="pt_ntar_14">'ГВС. Т-гор.вода'!$42:$53</definedName>
    <definedName name="pt_ntar_15">'ГВС. Т-транс'!$42:$53</definedName>
    <definedName name="pt_ntar_16">'ГВС. Т-подкл'!$46:$62</definedName>
    <definedName name="pt_ntar_17">'ВО. Т-во'!$41:$52</definedName>
    <definedName name="pt_ntar_18">'ВО. Т-транс'!$41:$52</definedName>
    <definedName name="pt_ntar_19">'ВО. Т-подкл'!$46:$62</definedName>
    <definedName name="pt_ntar_2">'ТС. Т-ТЭ | ТСО'!$43:$56</definedName>
    <definedName name="pt_ntar_20">'ТС. Т-подкл(инд)'!$42:$55</definedName>
    <definedName name="pt_ntar_21">'ТС. Т-ТЭ | предел'!$43:$56</definedName>
    <definedName name="pt_ntar_21_1">'ТС. Т-ТЭ | индикат'!$43:$56</definedName>
    <definedName name="pt_ntar_3">'ТС. Т-ТН'!$43:$56</definedName>
    <definedName name="pt_ntar_4">'ТС. Т-гор.вода'!$49:$64</definedName>
    <definedName name="pt_ntar_5">'ТС. Т-передача ТЭ'!$43:$56</definedName>
    <definedName name="pt_ntar_6">'ТС. Т-передача ТН'!$43:$56</definedName>
    <definedName name="pt_ntar_7">'ТС. Резерв мощности'!$43:$56</definedName>
    <definedName name="pt_ntar_8">'ТС. Т-подкл'!$45:$61</definedName>
    <definedName name="pt_ntar_9">'ХВС. Т-пит'!$41:$52</definedName>
    <definedName name="PT_P_FORM_COLDVSNA_4_NAME_FORM">DATA_FORMS!$C$17</definedName>
    <definedName name="PT_P_FORM_COLDVSNA_5_NAME_FORM">DATA_FORMS!$C$18</definedName>
    <definedName name="PT_P_FORM_HEAT_21_NAME_FORM">DATA_FORMS!$C$13</definedName>
    <definedName name="PT_P_FORM_HEAT_22_NAME_FORM">DATA_FORMS!$C$14</definedName>
    <definedName name="PT_P_FORM_HEAT_4_NAME_FORM">DATA_FORMS!$C$9</definedName>
    <definedName name="PT_P_FORM_HEAT_5_NAME_FORM">DATA_FORMS!$C$10</definedName>
    <definedName name="PT_P_FORM_HEAT_6_NAME_FORM">DATA_FORMS!$C$11</definedName>
    <definedName name="PT_P_FORM_HEAT_7_NAME_FORM">DATA_FORMS!$C$12</definedName>
    <definedName name="PT_P_FORM_HOTVSNA_4_NAME_FORM">DATA_FORMS!$C$21</definedName>
    <definedName name="PT_P_FORM_HOTVSNA_5_NAME_FORM">DATA_FORMS!$C$22</definedName>
    <definedName name="PT_P_FORM_VOTV_4_NAME_FORM">DATA_FORMS!$C$25</definedName>
    <definedName name="PT_P_FORM_VOTV_5_NAME_FORM">DATA_FORMS!$C$26</definedName>
    <definedName name="PT_R_FORM_COLDVSNA_16_NAME_FORM">DATA_FORMS!$C$19</definedName>
    <definedName name="PT_R_FORM_COLDVSNA_17_NAME_FORM">DATA_FORMS!$C$20</definedName>
    <definedName name="PT_R_FORM_HEAT_21_NAME_FORM">DATA_FORMS!$C$13</definedName>
    <definedName name="PT_R_FORM_HEAT_22_NAME_FORM">DATA_FORMS!$C$14</definedName>
    <definedName name="PT_R_FORM_HEAT_23_NAME_FORM">DATA_FORMS!$C$15</definedName>
    <definedName name="PT_R_FORM_HEAT_24_NAME_FORM">DATA_FORMS!$C$16</definedName>
    <definedName name="PT_R_FORM_HOTVSNA_16_NAME_FORM">DATA_FORMS!$C$23</definedName>
    <definedName name="PT_R_FORM_HOTVSNA_17_NAME_FORM">DATA_FORMS!$C$24</definedName>
    <definedName name="PT_R_FORM_VOTV_16_NAME_FORM">DATA_FORMS!$C$27</definedName>
    <definedName name="PT_R_FORM_VOTV_17_NAME_FORM">DATA_FORMS!$C$28</definedName>
    <definedName name="PT_SCHEME_LIST">TEHSHEET!$AZ$36:$AZ$39</definedName>
    <definedName name="pt_ter_1">'ТС. Т-ТЭ | &gt;=25МВт'!$44:$55</definedName>
    <definedName name="pt_ter_10">'ХВС. Т-тех'!$42:$51</definedName>
    <definedName name="pt_ter_11">'ХВС. Т-транс'!$42:$51</definedName>
    <definedName name="pt_ter_12">'ХВС. Т-подвоз'!$42:$51</definedName>
    <definedName name="pt_ter_13">'ХВС. Т-подкл'!$47:$61</definedName>
    <definedName name="pt_ter_14">'ГВС. Т-гор.вода'!$43:$52</definedName>
    <definedName name="pt_ter_15">'ГВС. Т-транс'!$43:$52</definedName>
    <definedName name="pt_ter_16">'ГВС. Т-подкл'!$47:$61</definedName>
    <definedName name="pt_ter_17">'ВО. Т-во'!$42:$51</definedName>
    <definedName name="pt_ter_18">'ВО. Т-транс'!$42:$51</definedName>
    <definedName name="pt_ter_19">'ВО. Т-подкл'!$47:$61</definedName>
    <definedName name="pt_ter_2">'ТС. Т-ТЭ | ТСО'!$44:$55</definedName>
    <definedName name="pt_ter_20">'ТС. Т-подкл(инд)'!$43:$53</definedName>
    <definedName name="pt_ter_21">'ТС. Т-ТЭ | предел'!$44:$55</definedName>
    <definedName name="pt_ter_21_1">'ТС. Т-ТЭ | индикат'!$44:$55</definedName>
    <definedName name="pt_ter_3">'ТС. Т-ТН'!$44:$55</definedName>
    <definedName name="pt_ter_4">'ТС. Т-гор.вода'!$50:$63</definedName>
    <definedName name="pt_ter_5">'ТС. Т-передача ТЭ'!$44:$55</definedName>
    <definedName name="pt_ter_6">'ТС. Т-передача ТН'!$44:$55</definedName>
    <definedName name="pt_ter_7">'ТС. Резерв мощности'!$44:$55</definedName>
    <definedName name="pt_ter_8">'ТС. Т-подкл'!$46:$59</definedName>
    <definedName name="pt_ter_9">'ХВС. Т-пит'!$42:$51</definedName>
    <definedName name="PT_TN_LIST">TEHSHEET!$AZ$42:$AZ$52</definedName>
    <definedName name="PT_VDET_COLUMN_MARKER">'Перечень тарифов'!$G$8</definedName>
    <definedName name="PURCH_NAME_FORM">DATA_FORMS!$C$29</definedName>
    <definedName name="Q_LIMIT_CheckC">Ограничения!$E$32:$K$39</definedName>
    <definedName name="Q_LIMIT_diff_1">Ограничения!$I$26:$J$28</definedName>
    <definedName name="Q_LIMIT_p3">Ограничения!$F$36:$K$37</definedName>
    <definedName name="Q_LIMIT_p4">Ограничения!$F$38:$K$39</definedName>
    <definedName name="Q_PH_diff_1">'Потребительские характеристики'!$I$9:$J$11</definedName>
    <definedName name="Q_TP_COUNT_REFUSAL">ТП!$H$17:$H$17</definedName>
    <definedName name="Q_TP_diff_1">ТП!$H$9:$H$11</definedName>
    <definedName name="QRE_METHOD_LIST">TEHSHEET!$AZ$8:$AZ$10</definedName>
    <definedName name="QUARTER">TEHSHEET!$F$2:$F$5</definedName>
    <definedName name="R_OFFER_ADD_PERIOD_HL_COLUMN_MARKER">Предложение!$I$12</definedName>
    <definedName name="R_OFFER_CHANGE_HL_COLUMN_MARKER">Предложение!$K$12</definedName>
    <definedName name="R_OFFER_DEL_HL_COLUMN_MARKER">Предложение!$H$12</definedName>
    <definedName name="R_OFFER_FLAG_HL_COLUMN_MARKER">Предложение!$C$12</definedName>
    <definedName name="REESTR_LINK_RANGE">REESTR_LINK!$A$2:$C$3</definedName>
    <definedName name="REESTR_VT_RANGE">REESTR_VT!$A$2:$B$11</definedName>
    <definedName name="REGION">TEHSHEET!$A$2:$A$91</definedName>
    <definedName name="region_name">Титульный!$F$7</definedName>
    <definedName name="RegulatoryPeriod">Титульный!$F$11:$F$12</definedName>
    <definedName name="ReportPeriod">Титульный!$F$11:$F$15</definedName>
    <definedName name="ROIV_CASE_ADD_HL_CASE_COLUMN_MARKER">'Дела об установлении тарифов'!$F$1</definedName>
    <definedName name="ROIV_CASE_DATE">'Дела об установлении тарифов'!$G$10:$G$11</definedName>
    <definedName name="ROIV_CASE_DEL_HL_CASE_COLUMN_MARKER">'Дела об установлении тарифов'!$D$1</definedName>
    <definedName name="ROIV_CASE_NUM_CASE_COLUMN_MARKER">'Дела об установлении тарифов'!$E$1</definedName>
    <definedName name="ROIV_CASE_PROTOKOL">'Дела об установлении тарифов'!$K$10:$K$11</definedName>
    <definedName name="ROIV_CASE_PROTOKOL_ET">'Дела об установлении тарифов'!$K$2</definedName>
    <definedName name="ROIV_CASE_PUC_ADD_HL_CASE_COLUMN_MARKER">'Дела об утверждении ПУЦ'!$F$1</definedName>
    <definedName name="ROIV_CASE_PUC_DATE">'Дела об утверждении ПУЦ'!$G$10:$G$11</definedName>
    <definedName name="ROIV_CASE_PUC_DEL_HL_CASE_COLUMN_MARKER">'Дела об утверждении ПУЦ'!$D$1</definedName>
    <definedName name="ROIV_CASE_PUC_NUM_CASE_COLUMN_MARKER">'Дела об утверждении ПУЦ'!$E$1</definedName>
    <definedName name="ROIV_CASE_PUC_PROTOKOL">'Дела об утверждении ПУЦ'!$K$10:$K$11</definedName>
    <definedName name="ROIV_CASE_PUC_PROTOKOL_ET">'Дела об утверждении ПУЦ'!$K$2</definedName>
    <definedName name="ROIV_CASE_PUC_RESH">'Дела об утверждении ПУЦ'!$J$10:$J$11</definedName>
    <definedName name="ROIV_CASE_PUC_RESH_ET">'Дела об утверждении ПУЦ'!$J$2</definedName>
    <definedName name="ROIV_CASE_RESH">'Дела об установлении тарифов'!$J$10:$J$11</definedName>
    <definedName name="ROIV_CASE_RESH_ET">'Дела об установлении тарифов'!$J$2</definedName>
    <definedName name="ROIV_INFO_COMMENT">TEHSHEET!$BA$97:$BA$103</definedName>
    <definedName name="ROIV_INFO_COMMENT_HEAT">TEHSHEET!$BA$97:$BA$103</definedName>
    <definedName name="ROIV_INFO_COMMENT_NO_HEAT">TEHSHEET!$BA$111:$BA$116</definedName>
    <definedName name="ROIV_INFO_DEL_HL_PHONE_COLUMN_MARKER">'Орган регулирования'!$C$1</definedName>
    <definedName name="ROIV_INFO_DOKLAD">'Орган регулирования'!$F$24</definedName>
    <definedName name="ROIV_INFO_LIST">TEHSHEET!$AZ$97:$AZ$103</definedName>
    <definedName name="ROIV_INFO_LIST_HEAT">TEHSHEET!$AZ$97:$AZ$103</definedName>
    <definedName name="ROIV_INFO_LIST_NO_HEAT">TEHSHEET!$AZ$111:$AZ$116</definedName>
    <definedName name="ROIV_INFO_NAME">'Орган регулирования'!$F$12</definedName>
    <definedName name="ROIV_INFO_NUM_PHONE_COLUMN_MARKER">'Орган регулирования'!$D$1</definedName>
    <definedName name="ROIV_ORG_DEL_HL_ORG_COLUMN_MARKER">'Перечень организаций'!$D$1</definedName>
    <definedName name="ROIV_ORG_INN_COLUMN_MARKER">'Перечень организаций'!$G$1</definedName>
    <definedName name="ROIV_ORG_KPP_COLUMN_MARKER">'Перечень организаций'!$H$1</definedName>
    <definedName name="ROIV_ORG_NAME_ORG_COLUMN_MARKER">'Перечень организаций'!$F$1</definedName>
    <definedName name="ROIV_ORG_NUM_ORG_COLUMN_MARKER">'Перечень организаций'!$E$1</definedName>
    <definedName name="ROIV_ORG_TECH_ORG_ID">'Перечень организаций'!$A$9:$A$10</definedName>
    <definedName name="ROIV_ORG_TECH_ORG_ID_COLUMN_MARKER">'Перечень организаций'!$A$1</definedName>
    <definedName name="ROIV_OTV_ADD_HL_DL_COLUMN_MARKER">'Привлечение к ответственности'!$K$1</definedName>
    <definedName name="ROIV_OTV_DEL_HL_DL_COLUMN_MARKER">'Привлечение к ответственности'!$I$1</definedName>
    <definedName name="ROIV_OTV_DEL_HL_ORG_COLUMN_MARKER">'Привлечение к ответственности'!$D$1</definedName>
    <definedName name="ROIV_OTV_INN_COLUMN_MARKER">'Привлечение к ответственности'!$H$1</definedName>
    <definedName name="ROIV_OTV_NAME_ORG_COLUMN_MARKER">'Привлечение к ответственности'!$G$1</definedName>
    <definedName name="ROIV_OTV_NUM_DL_COLUMN_MARKER">'Привлечение к ответственности'!$J$1</definedName>
    <definedName name="ROIV_OTV_NUM_ORG_COLUMN_MARKER">'Привлечение к ответственности'!$E$1</definedName>
    <definedName name="ROIV_OTV_TECH_ORG_ID_COLUMN_MARKER">'Привлечение к ответственности'!$A$1</definedName>
    <definedName name="RST_ORG_ID">Титульный!$F$72</definedName>
    <definedName name="SKI_number">TEHSHEET!$I$2:$I$21</definedName>
    <definedName name="StartDateList">TEHSHEET!$G$46:$G$53</definedName>
    <definedName name="tblEnd_1_B_FHD">'Показатели ФХД'!$J$131</definedName>
    <definedName name="tblEnd_1_B_FHD_TKO">'ТКО. Показатели ФХД'!$J$47</definedName>
    <definedName name="tblEnd_1_B_FHD_TKO_TRANS">'ТКО. Транс. Показатели ФХД'!$J$38</definedName>
    <definedName name="tblEnd_1_B_KNE">'Показатели КНЭ'!$J$101</definedName>
    <definedName name="tblEnd_1_B_OTEP">'Показатели ОТЭП'!$N$34</definedName>
    <definedName name="tblEnd_1_B_STANDARTS">'Стандарты качества'!$L$13</definedName>
    <definedName name="tblEnd_1_CHANGE_INFO">'Сведения об изменении'!$E$14</definedName>
    <definedName name="tblEnd_1_DIFFERENTIATION">Дифференциация!$M$17</definedName>
    <definedName name="tblEnd_1_DIFFERENTIATION_TARIFF">'Перечень тарифов'!$W$136</definedName>
    <definedName name="tblEnd_1_DIFFERENTIATION_TKO">'Дифференциация тариф показатель'!$AI$41</definedName>
    <definedName name="tblEnd_1_ED">ЭД!$H$14</definedName>
    <definedName name="tblEnd_1_IP_DETAILED">'ИП. Детализация'!$AH$14</definedName>
    <definedName name="tblEnd_1_IP_FIN_PLAN">'ИП. Финансовый план'!$K$58</definedName>
    <definedName name="tblEnd_1_IP_MAIN">ИП!$AB$14</definedName>
    <definedName name="tblEnd_1_IP_QRE">'ИП. КНЭ'!$FX$21</definedName>
    <definedName name="tblEnd_1_OFFER">Предложение!$L$330</definedName>
    <definedName name="tblEnd_1_ORG_INFO">'Общая информация об организации'!$F$52</definedName>
    <definedName name="tblEnd_1_ORG_TERRITORY">'Сведения по территориям'!$K$14</definedName>
    <definedName name="tblEnd_1_ORG_VD">'Общая информация по ВД'!$AI$14</definedName>
    <definedName name="tblEnd_1_ORG_VD_TKO">'Виды объектов'!$I$17</definedName>
    <definedName name="tblEnd_1_P_PROCEDURE_TC">'Порядок ТП'!$H$41</definedName>
    <definedName name="tblEnd_1_P_T_TERMS">Договоры!$F$28</definedName>
    <definedName name="tblEnd_1_Q_LIMIT">Ограничения!$K$40</definedName>
    <definedName name="tblEnd_1_Q_PH">'Потребительские характеристики'!$K$21</definedName>
    <definedName name="tblEnd_1_Q_TP">ТП!$I$23</definedName>
    <definedName name="tblEnd_1_R_B_Purch">'Сведения о закупках'!$G$15</definedName>
    <definedName name="tblEnd_1_R_Offer">Предложение!$L$330</definedName>
    <definedName name="tblEnd_1_ROIV_CASE">'Дела об установлении тарифов'!$K$12</definedName>
    <definedName name="tblEnd_1_ROIV_CASE_PUC">'Дела об утверждении ПУЦ'!$K$12</definedName>
    <definedName name="tblEnd_1_ROIV_INFO">'Орган регулирования'!$F$25</definedName>
    <definedName name="tblEnd_1_ROIV_ORG">'Перечень организаций'!$I$11</definedName>
    <definedName name="tblEnd_1_ROIV_OTV">'Привлечение к ответственности'!$M$16</definedName>
    <definedName name="tblEnd_1_TARIFF_A">'ТС. Т-ТЭ | &gt;=25МВт'!$AL$58</definedName>
    <definedName name="tblEnd_1_TARIFF_A_COLDVSNA">'ХВС. Т-пит'!$AJ$54</definedName>
    <definedName name="tblEnd_1_TARIFF_A_HOTVSNA">'ГВС. Т-гор.вода'!$AR$55</definedName>
    <definedName name="tblEnd_1_TARIFF_A_VOTV">'ВО. Т-во'!$AJ$54</definedName>
    <definedName name="tblEnd_1_TARIFF_B">'ТС. Т-ТЭ | ТСО'!$AL$58</definedName>
    <definedName name="tblEnd_1_TARIFF_B_COLDVSNA">'ХВС. Т-тех'!$AJ$54</definedName>
    <definedName name="tblEnd_1_TARIFF_B_HOTVSNA">'ГВС. Т-транс'!$AR$55</definedName>
    <definedName name="tblEnd_1_TARIFF_B_VOTV">'ВО. Т-транс'!$AJ$54</definedName>
    <definedName name="tblEnd_1_TARIFF_C">'ТС. Т-ТН'!$AL$58</definedName>
    <definedName name="tblEnd_1_TARIFF_C_COLDVSNA">'ХВС. Т-транс'!$AJ$54</definedName>
    <definedName name="tblEnd_1_TARIFF_C_HOTVSNA">'ГВС. Т-подкл'!$BB$64</definedName>
    <definedName name="tblEnd_1_TARIFF_C_VOTV">'ВО. Т-подкл'!$BB$64</definedName>
    <definedName name="tblEnd_1_TARIFF_D">'ТС. Т-гор.вода'!$AP$66</definedName>
    <definedName name="tblEnd_1_TARIFF_D_COLDVSNA">'ХВС. Т-подвоз'!$AJ$54</definedName>
    <definedName name="tblEnd_1_TARIFF_E_COLDVSNA">'ХВС. Т-подкл'!$BB$64</definedName>
    <definedName name="tblEnd_1_TARIFF_E1">'ТС. Т-передача ТЭ'!$AL$58</definedName>
    <definedName name="tblEnd_1_TARIFF_E2">'ТС. Т-передача ТН'!$AL$58</definedName>
    <definedName name="tblEnd_1_TARIFF_F">'ТС. Резерв мощности'!$AL$58</definedName>
    <definedName name="tblEnd_1_TARIFF_G">'ТС. Т-подкл'!$AT$63</definedName>
    <definedName name="tblEnd_1_TARIFF_H">'ТС. Т-подкл(инд)'!$AJ$57</definedName>
    <definedName name="tblEnd_1_TARIFF_I">'ТС. Т-ТЭ | предел'!$AL$54</definedName>
    <definedName name="tblEnd_1_TARIFF_I_1">'ТС. Т-ТЭ | индикат'!$AL$58</definedName>
    <definedName name="tblEnd_1_TERRITORY">'Список территорий'!$I$16</definedName>
    <definedName name="tblStart_1_B_FHD">'Показатели ФХД'!$I$30</definedName>
    <definedName name="tblStart_1_B_FHD_TKO">'ТКО. Показатели ФХД'!$I$15</definedName>
    <definedName name="tblStart_1_B_FHD_TKO_TRANS">'ТКО. Транс. Показатели ФХД'!$I$15</definedName>
    <definedName name="tblStart_1_B_KNE">'Показатели КНЭ'!$I$12</definedName>
    <definedName name="tblStart_1_B_OTEP">'Показатели ОТЭП'!$M$15</definedName>
    <definedName name="tblStart_1_B_STANDARTS">'Стандарты качества'!$L$10</definedName>
    <definedName name="tblStart_1_CHANGE_INFO">'Сведения об изменении'!$E$12</definedName>
    <definedName name="tblStart_1_DIFFERENTIATION">Дифференциация!$E$13</definedName>
    <definedName name="tblStart_1_DIFFERENTIATION_TARIFF">'Перечень тарифов'!$G$13</definedName>
    <definedName name="tblStart_1_DIFFERENTIATION_TKO">'Дифференциация тариф показатель'!$K$11</definedName>
    <definedName name="tblStart_1_ED">ЭД!$E$12</definedName>
    <definedName name="tblStart_1_IP_DETAILED">'ИП. Детализация'!$I$13</definedName>
    <definedName name="tblStart_1_IP_FIN_PLAN">'ИП. Финансовый план'!$J$14</definedName>
    <definedName name="tblStart_1_IP_MAIN">ИП!$H$11</definedName>
    <definedName name="tblStart_1_IP_QRE">'ИП. КНЭ'!$O$18</definedName>
    <definedName name="tblStart_1_OFFER">Предложение!$H$22</definedName>
    <definedName name="tblStart_1_ORG_INFO">'Общая информация об организации'!$F$13</definedName>
    <definedName name="tblStart_1_ORG_TERRITORY">'Сведения по территориям'!$G$12</definedName>
    <definedName name="tblStart_1_ORG_VD">'Общая информация по ВД'!$F$12</definedName>
    <definedName name="tblStart_1_ORG_VD_TKO">'Виды объектов'!$E$14</definedName>
    <definedName name="tblStart_1_P_PROCEDURE_TC">'Порядок ТП'!$G$22</definedName>
    <definedName name="tblStart_1_P_T_TERMS">Договоры!$F$14</definedName>
    <definedName name="tblStart_1_Q_LIMIT">Ограничения!$I$32</definedName>
    <definedName name="tblStart_1_Q_PH">'Потребительские характеристики'!$I$19</definedName>
    <definedName name="tblStart_1_Q_TP">ТП!$H$15</definedName>
    <definedName name="tblStart_1_R_B_Purch">'Сведения о закупках'!$F$10</definedName>
    <definedName name="tblStart_1_R_Offer">Предложение!$H$22</definedName>
    <definedName name="tblStart_1_ROIV_CASE">'Дела об установлении тарифов'!$G$10</definedName>
    <definedName name="tblStart_1_ROIV_CASE_PUC">'Дела об утверждении ПУЦ'!$G$10</definedName>
    <definedName name="tblStart_1_ROIV_INFO">'Орган регулирования'!$F$12</definedName>
    <definedName name="tblStart_1_ROIV_ORG">'Перечень организаций'!$F$9</definedName>
    <definedName name="tblStart_1_ROIV_OTV">'Привлечение к ответственности'!$K$13</definedName>
    <definedName name="tblStart_1_TARIFF_A">'ТС. Т-ТЭ | &gt;=25МВт'!$AD$43</definedName>
    <definedName name="tblStart_1_TARIFF_A_COLDVSNA">'ХВС. Т-пит'!$AC$41</definedName>
    <definedName name="tblStart_1_TARIFF_A_HOTVSNA">'ГВС. Т-гор.вода'!$AG$42</definedName>
    <definedName name="tblStart_1_TARIFF_A_VOTV">'ВО. Т-во'!$AC$41</definedName>
    <definedName name="tblStart_1_TARIFF_B">'ТС. Т-ТЭ | ТСО'!$AD$43</definedName>
    <definedName name="tblStart_1_TARIFF_B_COLDVSNA">'ХВС. Т-тех'!$AC$41</definedName>
    <definedName name="tblStart_1_TARIFF_B_HOTVSNA">'ГВС. Т-транс'!$AG$42</definedName>
    <definedName name="tblStart_1_TARIFF_B_VOTV">'ВО. Т-транс'!$AC$41</definedName>
    <definedName name="tblStart_1_TARIFF_C">'ТС. Т-ТН'!$AD$43</definedName>
    <definedName name="tblStart_1_TARIFF_C_COLDVSNA">'ХВС. Т-транс'!$AC$41</definedName>
    <definedName name="tblStart_1_TARIFF_C_HOTVSNA">'ГВС. Т-подкл'!$AD$46</definedName>
    <definedName name="tblStart_1_TARIFF_C_VOTV">'ВО. Т-подкл'!$AD$46</definedName>
    <definedName name="tblStart_1_TARIFF_D">'ТС. Т-гор.вода'!$AG$49</definedName>
    <definedName name="tblStart_1_TARIFF_D_COLDVSNA">'ХВС. Т-подвоз'!$AC$41</definedName>
    <definedName name="tblStart_1_TARIFF_E_COLDVSNA">'ХВС. Т-подкл'!$AD$46</definedName>
    <definedName name="tblStart_1_TARIFF_E1">'ТС. Т-передача ТЭ'!$AD$43</definedName>
    <definedName name="tblStart_1_TARIFF_E2">'ТС. Т-передача ТН'!$AD$43</definedName>
    <definedName name="tblStart_1_TARIFF_F">'ТС. Резерв мощности'!$AD$43</definedName>
    <definedName name="tblStart_1_TARIFF_G">'ТС. Т-подкл'!$AB$45</definedName>
    <definedName name="tblStart_1_TARIFF_H">'ТС. Т-подкл(инд)'!$AB$42</definedName>
    <definedName name="tblStart_1_TARIFF_I">'ТС. Т-ТЭ | предел'!$AD$43</definedName>
    <definedName name="tblStart_1_TARIFF_I_1">'ТС. Т-ТЭ | индикат'!$AD$43</definedName>
    <definedName name="tblStart_1_TERRITORY">'Список территорий'!$G$12</definedName>
    <definedName name="TECH_ORG_ID">Титульный!$F$1</definedName>
    <definedName name="TEMPLATE_DATA_POINT">DATA_NPA!$T$11:$X$16</definedName>
    <definedName name="TEMPLATE_DATA_POINT_FHD">DATA_NPA!$T$18:$W$146</definedName>
    <definedName name="TEMPLATE_GROUP">TEHSHEET!$E$45</definedName>
    <definedName name="TEMPLATE_NAME_FORM_LIST">DATA_FORMS!$D$3:$H$35</definedName>
    <definedName name="TEMPLATE_NOTE_POINT">DATA_NPA!$Z$11:$AD$15</definedName>
    <definedName name="TEMPLATE_NOTE_POINT_FHD">DATA_NPA!$Z$18:$AD$146</definedName>
    <definedName name="TEMPLATE_NUMBER_FORM_LIST">DATA_FORMS!$D$2:$H$2</definedName>
    <definedName name="TEMPLATE_NUMBER_POINT_FHD">DATA_NPA!$O$18:$S$146</definedName>
    <definedName name="TEMPLATE_ORG_DATA_POINT">DATA_NPA!$Z$3:$AD$9</definedName>
    <definedName name="TEMPLATE_SPHERE">TEHSHEET!$E$36</definedName>
    <definedName name="TEMPLATE_SPHERE_LIST">DATA_FORMS!$D$1:$H$1</definedName>
    <definedName name="TEMPLATE_SPHERE_LIST_FOR_NOTE">DATA_NPA!$Z$2:$AD$2</definedName>
    <definedName name="TEMPLATE_SPHERE_LIST_FOR_NPA">DATA_NPA!$T$2:$X$2</definedName>
    <definedName name="TEMPLATE_SPHERE_RUS">TEHSHEET!$F$36</definedName>
    <definedName name="TEMPLATE_SPHERE_RUS_2">TEHSHEET!$G$36</definedName>
    <definedName name="TemplateState">TEHSHEET!$E$16</definedName>
    <definedName name="ter_1">'Список территорий'!$G$13:$I$13</definedName>
    <definedName name="TER_ID">TEHSHEET!$E$62</definedName>
    <definedName name="TERMS_LINK">Договоры!$F$12:$F$22</definedName>
    <definedName name="TERMS_NAME_FORM">DATA_FORMS!$C$5</definedName>
    <definedName name="TERMS_NUM_CONTRACT_COLUMN_MARKER">Договоры!$D$8</definedName>
    <definedName name="TERMS_P_1">DATA_NPA!$M$148</definedName>
    <definedName name="TERMS_TKO_TRANS_DATA">Договоры!$E$25:$F$26</definedName>
    <definedName name="TERRITORY_CheckC">'Список территорий'!$E$11:$I$15</definedName>
    <definedName name="TERRITORY_ID">TEHSHEET!$E$56</definedName>
    <definedName name="TERRITORY_LIST_ID">'Список территорий'!$F$11:$F$15</definedName>
    <definedName name="TERRITORY_MO_LIST">'Список территорий'!$H$11:$H$15</definedName>
    <definedName name="TERRITORY_MR_LIST">'Список территорий'!$G$11:$G$15</definedName>
    <definedName name="TERRITORY_NAME_COL">'Список территорий'!$G$1:$I$1</definedName>
    <definedName name="TERRITORY_POINT_NUMBER_1">'Список территорий'!$A:$A</definedName>
    <definedName name="TITLE_BUHG_FLAG">Титульный!$F$53</definedName>
    <definedName name="TITLE_CONNECTION_FLAG">Титульный!$F$49</definedName>
    <definedName name="TITLE_DATA_TYPE">Титульный!$F$17</definedName>
    <definedName name="TITLE_DATE_BUHG">Титульный!$F$54</definedName>
    <definedName name="TITLE_DATE_CHANGE">Титульный!$F$18</definedName>
    <definedName name="TITLE_DATE_CHANGE_PERIOD">Титульный!$F$19</definedName>
    <definedName name="TITLE_DATE_FIL">Титульный!$F$13</definedName>
    <definedName name="TITLE_DATE_PARKING">Титульный!$H$5</definedName>
    <definedName name="TITLE_DATE_PR">Титульный!$F$21</definedName>
    <definedName name="TITLE_DATE_PR_CHANGE">Титульный!$F$26</definedName>
    <definedName name="TITLE_DIFFERENTIATION_TYPE">Титульный!$F$41</definedName>
    <definedName name="TITLE_FIL_YEAR">Титульный!$F$14</definedName>
    <definedName name="TITLE_FLAG_DIFF_SELLER">Титульный!$F$46</definedName>
    <definedName name="TITLE_FLAG_INTERNET">Титульный!$F$39</definedName>
    <definedName name="TITLE_FLAG_IP">Титульный!$F$58</definedName>
    <definedName name="TITLE_FLAG_IP_DETAILED">Титульный!$F$60</definedName>
    <definedName name="TITLE_FLAG_NO_DIFF_COMPONENT">Титульный!$F$47</definedName>
    <definedName name="TITLE_FLAG_NOT_REG_PRICE">Титульный!$F$51</definedName>
    <definedName name="TITLE_FLAG_OTV_ROIV">Титульный!$F$10</definedName>
    <definedName name="TITLE_FLAG_REG_PRICE_IP">Титульный!$F$59</definedName>
    <definedName name="TITLE_FLAG_TKO_TRANS">Титульный!$F$62</definedName>
    <definedName name="TITLE_FLAG_TOP80_ACTIVITY">Титульный!$F$56</definedName>
    <definedName name="TITLE_HEADER_PR_CHANGE">Титульный!$F$25</definedName>
    <definedName name="TITLE_IP_DETAILED_METHOD_LIST">TEHSHEET!$AZ$15:$AZ$17</definedName>
    <definedName name="TITLE_IST_PUB">Титульный!$F$24</definedName>
    <definedName name="TITLE_IST_PUB_CHANGE">Титульный!$F$29</definedName>
    <definedName name="TITLE_NAME_OR_PR">Титульный!$F$23</definedName>
    <definedName name="TITLE_NAME_OR_PR_CHANGE">Титульный!$F$28</definedName>
    <definedName name="TITLE_NUMBER_PR">Титульный!$F$22</definedName>
    <definedName name="TITLE_NUMBER_PR_CHANGE">Титульный!$F$27</definedName>
    <definedName name="TITLE_PERIOD_END">Титульный!$F$12</definedName>
    <definedName name="TITLE_PERIOD_START">Титульный!$F$11</definedName>
    <definedName name="TITLE_PRICE_INDICATORS_GRAPH">Титульный!$F$44</definedName>
    <definedName name="TITLE_PRICE_INDICATORS_LEVEL">Титульный!$F$43</definedName>
    <definedName name="TITLE_STRUCTURE_INFO_ROIV">Титульный!$F$9</definedName>
    <definedName name="TITLE_TYPE_ORG">Титульный!$F$36</definedName>
    <definedName name="TKO_PT_VED_ID">TEHSHEET!$CC$19:$CC$24</definedName>
    <definedName name="TKO_PT_VED_NAME">TEHSHEET!$CD$19:$CD$24</definedName>
    <definedName name="TKO_PT_VED_NAME_LIST">TEHSHEET!$CC$19:$CD$24</definedName>
    <definedName name="TP_NAME_FORM">DATA_FORMS!$C$3</definedName>
    <definedName name="TP_NUMBER_FORM">DATA_FORMS!$C$2</definedName>
    <definedName name="TP_P_A">DATA_NPA!$M$11</definedName>
    <definedName name="TP_P_B">DATA_NPA!$M$12</definedName>
    <definedName name="TP_P_G">DATA_NPA!$M$15</definedName>
    <definedName name="TP_P_NOTE_A">DATA_NPA!$N$11</definedName>
    <definedName name="TP_P_NOTE_B">DATA_NPA!$N$12</definedName>
    <definedName name="TP_P_NOTE_G">DATA_NPA!$N$15</definedName>
    <definedName name="TP_P_NOTE_G_1">DATA_NPA!$N$16</definedName>
    <definedName name="TP_P_NOTE_V">DATA_NPA!$N$13</definedName>
    <definedName name="TP_P_NOTE_V_1">DATA_NPA!$N$14</definedName>
    <definedName name="TP_P_V">DATA_NPA!$M$13</definedName>
    <definedName name="TP_P_V_1">DATA_NPA!$M$14</definedName>
    <definedName name="TYPE_TKO_LIST">TEHSHEET!$AZ$85:$AZ$87</definedName>
    <definedName name="UNIT_CONNECT_LIST">TEHSHEET!$AZ$106:$AZ$108</definedName>
    <definedName name="VDET_END_DATE">TEHSHEET!$F$32</definedName>
    <definedName name="VDET_START_DATE">TEHSHEET!$E$32</definedName>
    <definedName name="version">Инструкция!$B$3</definedName>
    <definedName name="VOTV_FIN_SRC_LIST">TEHSHEET!$BL$4:$BL$36</definedName>
    <definedName name="VOTV_FIN_SRC_VLD_LIST">TEHSHEET!$BL$39:$BL$62</definedName>
    <definedName name="VOTV_IP_EVENT_CI_STAGE_LIST">TEHSHEET!$BL$97:$BL$100</definedName>
    <definedName name="VOTV_IP_EVENT_GROUP_LIST">TEHSHEET!$BL$69:$BL$76</definedName>
    <definedName name="VOTV_IP_EVENT_SUBGROUP_1_LIST">TEHSHEET!$BL$80:$BL$83</definedName>
    <definedName name="VOTV_IP_EVENT_SUBGROUP_3_LIST">TEHSHEET!$BL$87:$BL$88</definedName>
    <definedName name="VOTV_IP_EVENT_SUBGROUP_5_LIST">TEHSHEET!$BL$92:$BL$93</definedName>
    <definedName name="VOTV_IP_EVENT_TYPE_LIST">TEHSHEET!$BL$108</definedName>
    <definedName name="VOTV_PT_VED_ID">TEHSHEET!$BZ$19:$BZ$21</definedName>
    <definedName name="VOTV_PT_VED_NAME">TEHSHEET!$CA$19:$CA$21</definedName>
    <definedName name="VOTV_PT_VED_NAME_LIST">TEHSHEET!$BZ$19:$CA$21</definedName>
    <definedName name="VOTV_TARIFF_A_VOTV_ADD_HL_COLUMN_MARKER">'ВО. Т-во'!$T$34</definedName>
    <definedName name="VOTV_TARIFF_A_VOTV_DEL_HL_DATA_DIFF_COLUMN_MARKER">'ВО. Т-во'!$R$34</definedName>
    <definedName name="VOTV_TARIFF_A_VOTV_DEL_HL_FLAG_DIFF_COLUMN_MARKER">'ВО. Т-во'!$P$34</definedName>
    <definedName name="VOTV_TARIFF_A_VOTV_DEL_HL_GC_COLUMN_MARKER">'ВО. Т-во'!$Q$34</definedName>
    <definedName name="VOTV_TARIFF_A_VOTV_DELETE_PERIOD_ROW_MARKER">'ВО. Т-во'!$O$35</definedName>
    <definedName name="VOTV_TARIFF_A_VOTV_FLAG_BLOCK_COLUMN_MARKER">'ВО. Т-во'!$L$36</definedName>
    <definedName name="VOTV_TARIFF_A_VOTV_FLAG_BLOCK_ROW_MARKER">'ВО. Т-во'!$O$20</definedName>
    <definedName name="VOTV_TARIFF_A_VOTV_NUM_CS_COLUMN_MARKER">'ВО. Т-во'!$G$36</definedName>
    <definedName name="VOTV_TARIFF_A_VOTV_NUM_DATA_DIFF_COLUMN_MARKER">'ВО. Т-во'!$K$36</definedName>
    <definedName name="VOTV_TARIFF_A_VOTV_NUM_FLAG_DIFF_COLUMN_MARKER">'ВО. Т-во'!$I$36</definedName>
    <definedName name="VOTV_TARIFF_A_VOTV_NUM_GC_COLUMN_MARKER">'ВО. Т-во'!$J$36</definedName>
    <definedName name="VOTV_TARIFF_A_VOTV_NUM_NTAR_COLUMN_MARKER">'ВО. Т-во'!$E$36</definedName>
    <definedName name="VOTV_TARIFF_A_VOTV_NUM_TER_COLUMN_MARKER">'ВО. Т-во'!$F$36</definedName>
    <definedName name="VOTV_TARIFF_B_VOTV_ADD_HL_COLUMN_MARKER">'ВО. Т-транс'!$T$34</definedName>
    <definedName name="VOTV_TARIFF_B_VOTV_DEL_HL_DATA_DIFF_COLUMN_MARKER">'ВО. Т-транс'!$R$34</definedName>
    <definedName name="VOTV_TARIFF_B_VOTV_DEL_HL_FLAG_DIFF_COLUMN_MARKER">'ВО. Т-транс'!$P$34</definedName>
    <definedName name="VOTV_TARIFF_B_VOTV_DEL_HL_GC_COLUMN_MARKER">'ВО. Т-транс'!$Q$34</definedName>
    <definedName name="VOTV_TARIFF_B_VOTV_DELETE_PERIOD_ROW_MARKER">'ВО. Т-транс'!$O$35</definedName>
    <definedName name="VOTV_TARIFF_B_VOTV_FLAG_BLOCK_COLUMN_MARKER">'ВО. Т-транс'!$L$36</definedName>
    <definedName name="VOTV_TARIFF_B_VOTV_FLAG_BLOCK_ROW_MARKER">'ВО. Т-транс'!$O$20</definedName>
    <definedName name="VOTV_TARIFF_B_VOTV_NUM_CS_COLUMN_MARKER">'ВО. Т-транс'!$G$36</definedName>
    <definedName name="VOTV_TARIFF_B_VOTV_NUM_DATA_DIFF_COLUMN_MARKER">'ВО. Т-транс'!$K$36</definedName>
    <definedName name="VOTV_TARIFF_B_VOTV_NUM_FLAG_DIFF_COLUMN_MARKER">'ВО. Т-транс'!$I$36</definedName>
    <definedName name="VOTV_TARIFF_B_VOTV_NUM_GC_COLUMN_MARKER">'ВО. Т-транс'!$J$36</definedName>
    <definedName name="VOTV_TARIFF_B_VOTV_NUM_NTAR_COLUMN_MARKER">'ВО. Т-транс'!$E$36</definedName>
    <definedName name="VOTV_TARIFF_B_VOTV_NUM_TER_COLUMN_MARKER">'ВО. Т-транс'!$F$36</definedName>
    <definedName name="VOTV_TARIFF_C_VOTV_ADD_HL_COLUMN_MARKER">'ВО. Т-подкл'!$T$38</definedName>
    <definedName name="VOTV_TARIFF_C_VOTV_ADD_HL_DIAMETERS_COLUMN_MARKER">'ВО. Т-подкл'!$AK$38</definedName>
    <definedName name="VOTV_TARIFF_C_VOTV_ADD_HL_LEN_COLUMN_MARKER">'ВО. Т-подкл'!$AO$38</definedName>
    <definedName name="VOTV_TARIFF_C_VOTV_ADD_HL_LOAD_COLUMN_MARKER">'ВО. Т-подкл'!$AG$38</definedName>
    <definedName name="VOTV_TARIFF_C_VOTV_ADD_HL_NETS_COLUMN_MARKER">'ВО. Т-подкл'!$AS$38</definedName>
    <definedName name="VOTV_TARIFF_C_VOTV_DEL_HL_DATA_DIFF_COLUMN_MARKER">'ВО. Т-подкл'!$R$38</definedName>
    <definedName name="VOTV_TARIFF_C_VOTV_DEL_HL_DIAMETERS_COLUMN_MARKER">'ВО. Т-подкл'!$AI$38</definedName>
    <definedName name="VOTV_TARIFF_C_VOTV_DEL_HL_FLAG_DIFF_COLUMN_MARKER">'ВО. Т-подкл'!$P$38</definedName>
    <definedName name="VOTV_TARIFF_C_VOTV_DEL_HL_GC_COLUMN_MARKER">'ВО. Т-подкл'!$Q$38</definedName>
    <definedName name="VOTV_TARIFF_C_VOTV_DEL_HL_LEN_COLUMN_MARKER">'ВО. Т-подкл'!$AM$38</definedName>
    <definedName name="VOTV_TARIFF_C_VOTV_DEL_HL_LOAD_COLUMN_MARKER">'ВО. Т-подкл'!$AE$38</definedName>
    <definedName name="VOTV_TARIFF_C_VOTV_DEL_HL_NETS_COLUMN_MARKER">'ВО. Т-подкл'!$AQ$38</definedName>
    <definedName name="VOTV_TARIFF_C_VOTV_DELETE_PERIOD_ROW_MARKER">'ВО. Т-подкл'!$O$39</definedName>
    <definedName name="VOTV_TARIFF_C_VOTV_FLAG_BLOCK_COLUMN_MARKER">'ВО. Т-подкл'!$L$44</definedName>
    <definedName name="VOTV_TARIFF_C_VOTV_FLAG_BLOCK_ROW_MARKER">'ВО. Т-подкл'!$O$24</definedName>
    <definedName name="VOTV_TARIFF_C_VOTV_NUM_CS_COLUMN_MARKER">'ВО. Т-подкл'!$G$44</definedName>
    <definedName name="VOTV_TARIFF_C_VOTV_NUM_DATA_DIFF_COLUMN_MARKER">'ВО. Т-подкл'!$K$44</definedName>
    <definedName name="VOTV_TARIFF_C_VOTV_NUM_DIAMETERS_COLUMN_MARKER">'ВО. Т-подкл'!$AJ$38</definedName>
    <definedName name="VOTV_TARIFF_C_VOTV_NUM_FLAG_DIFF_COLUMN_MARKER">'ВО. Т-подкл'!$I$44</definedName>
    <definedName name="VOTV_TARIFF_C_VOTV_NUM_GC_COLUMN_MARKER">'ВО. Т-подкл'!$J$44</definedName>
    <definedName name="VOTV_TARIFF_C_VOTV_NUM_LEN_COLUMN_MARKER">'ВО. Т-подкл'!$AN$38</definedName>
    <definedName name="VOTV_TARIFF_C_VOTV_NUM_LOAD_COLUMN_MARKER">'ВО. Т-подкл'!$AF$38</definedName>
    <definedName name="VOTV_TARIFF_C_VOTV_NUM_NETS_COLUMN_MARKER">'ВО. Т-подкл'!$AR$38</definedName>
    <definedName name="VOTV_TARIFF_C_VOTV_NUM_NTAR_COLUMN_MARKER">'ВО. Т-подкл'!$E$44</definedName>
    <definedName name="VOTV_TARIFF_C_VOTV_NUM_TER_COLUMN_MARKER">'ВО. Т-подкл'!$F$44</definedName>
    <definedName name="VSNA_FIN_SRC_LIST">TEHSHEET!$BJ$4:$BJ$34</definedName>
    <definedName name="VSNA_FIN_SRC_VLD_LIST">TEHSHEET!$BJ$39:$BJ$60</definedName>
    <definedName name="VSNA_IP_EVENT_CI_STAGE_LIST">TEHSHEET!$BJ$97:$BJ$100</definedName>
    <definedName name="VSNA_IP_EVENT_GROUP_LIST">TEHSHEET!$BJ$69:$BJ$76</definedName>
    <definedName name="VSNA_IP_EVENT_SUBGROUP_1_LIST">TEHSHEET!$BJ$80:$BJ$83</definedName>
    <definedName name="VSNA_IP_EVENT_SUBGROUP_3_LIST">TEHSHEET!$BJ$87:$BJ$88</definedName>
    <definedName name="VSNA_IP_EVENT_SUBGROUP_5_LIST">TEHSHEET!$BJ$92:$BJ$93</definedName>
    <definedName name="VSNA_IP_EVENT_TYPE_LIST">TEHSHEET!$BJ$108</definedName>
    <definedName name="VTAR_ID">TEHSHEET!$E$59</definedName>
    <definedName name="Y_N_DIFFERENTIATION_AREA">Дифференциация!$F$12:$F$16</definedName>
    <definedName name="Y_N_DIFFERENTIATION_SYSTEM">Дифференциация!$J$12:$J$16</definedName>
    <definedName name="YEAR_IP_LIST">TEHSHEET!$BE$2:$BE$72</definedName>
    <definedName name="year_list">TEHSHEET!$C$2:$C$6</definedName>
    <definedName name="year_list1">TEHSHEET!$B$2:$B$27</definedName>
    <definedName name="REESTR_IP_RANGE">REESTR_IP!$A$2:$I$6</definedName>
    <definedName name="VD_LIST">REESTR_VED!$A$2:$B$4</definedName>
    <definedName name="VD_ID_LIST">REESTR_VED!$A$2:$A$4</definedName>
    <definedName name="VD_NAME_LIST">REESTR_VED!$B$2:$B$4</definedName>
    <definedName name="et_B_FHD20_1">et_union_hor!$115:$123</definedName>
    <definedName name="DESCRIPTION_TERRITORY">REESTR_DS!$B$2</definedName>
    <definedName name="_xlnm._FilterDatabase" localSheetId="59" hidden="1">Проверка!$B$4:$D$4</definedName>
  </definedNames>
  <calcPr calcId="0" iterate="1" iterateCount="100" iterateDelta="0.001"/>
</workbook>
</file>

<file path=xl/calcChain.xml><?xml version="1.0" encoding="utf-8"?>
<calcChain xmlns="http://schemas.openxmlformats.org/spreadsheetml/2006/main">
  <c r="B5" i="1" l="1"/>
</calcChain>
</file>

<file path=xl/comments2.xml><?xml version="1.0" encoding="utf-8"?>
<comments xmlns="http://schemas.openxmlformats.org/spreadsheetml/2006/main" xmlns:mc="http://schemas.openxmlformats.org/markup-compatibility/2006" xmlns:xr="http://schemas.microsoft.com/office/spreadsheetml/2014/revision" mc:Ignorable="xr">
  <authors>
    <author>Author</author>
  </authors>
  <commentList>
    <comment ref="E37" authorId="0">
      <text>
        <r>
          <rPr>
            <sz val="9"/>
            <rFont val="Arial"/>
            <family val="2"/>
          </rPr>
          <t>ОСН - Общая система налогообложения
УСН - Упрощённая система налогообложения
ЕСХН - Единый сельскохозяйственный налог
ПСН - Патентная система налогообложения
НПД - Налог на профессиональный доход</t>
        </r>
      </text>
    </comment>
  </commentList>
</comments>
</file>

<file path=xl/comments51.xml><?xml version="1.0" encoding="utf-8"?>
<comments xmlns="http://schemas.openxmlformats.org/spreadsheetml/2006/main" xmlns:mc="http://schemas.openxmlformats.org/markup-compatibility/2006" xmlns:xr="http://schemas.microsoft.com/office/spreadsheetml/2014/revision" mc:Ignorable="xr">
  <authors>
    <author>Author</author>
  </authors>
  <commentList>
    <comment ref="AZ1" authorId="0">
      <text>
        <r>
          <rPr>
            <sz val="9"/>
            <rFont val="Tahoma"/>
            <family val="2"/>
          </rPr>
          <t>Тип организации</t>
        </r>
      </text>
    </comment>
    <comment ref="L6" authorId="0">
      <text>
        <r>
          <rPr>
            <sz val="9"/>
            <rFont val="Tahoma"/>
            <family val="2"/>
          </rPr>
          <t>тут будет больше 0, если выбран хотя бы один метод, отличный от экономически обоснованных</t>
        </r>
      </text>
    </comment>
  </commentList>
</comments>
</file>

<file path=xl/comments63.xml><?xml version="1.0" encoding="utf-8"?>
<comments xmlns="http://schemas.openxmlformats.org/spreadsheetml/2006/main" xmlns:mc="http://schemas.openxmlformats.org/markup-compatibility/2006" xmlns:xr="http://schemas.microsoft.com/office/spreadsheetml/2014/revision" mc:Ignorable="xr">
  <authors>
    <author>Author</author>
  </authors>
  <commentList>
    <comment ref="P2" authorId="0">
      <text>
        <r>
          <rPr>
            <sz val="9"/>
            <rFont val="Arial"/>
            <family val="2"/>
          </rPr>
          <t>сюда же для некоторых формул может входить:
- VOTV
- HOTVSNA</t>
        </r>
      </text>
    </comment>
    <comment ref="U2" authorId="0">
      <text>
        <r>
          <rPr>
            <sz val="9"/>
            <rFont val="Arial"/>
            <family val="2"/>
          </rPr>
          <t>сюда же для некоторых формул может входить:
- VOTV
- HOTVSNA</t>
        </r>
      </text>
    </comment>
  </commentList>
</comments>
</file>

<file path=xl/sharedStrings.xml><?xml version="1.0" encoding="utf-8"?>
<sst xmlns="http://schemas.openxmlformats.org/spreadsheetml/2006/main" count="25417" uniqueCount="6516">
  <si>
    <t xml:space="preserve"> (требуется обновление)</t>
  </si>
  <si>
    <t>Код отчёта: PP108.OPEN.INFO.QUARTER.VOTV.EIAS</t>
  </si>
  <si>
    <t>Версия отчёта: 1.1.1</t>
  </si>
  <si>
    <t>Условные обозначения</t>
  </si>
  <si>
    <t>A</t>
  </si>
  <si>
    <t xml:space="preserve"> - предназначенные для заполнения</t>
  </si>
  <si>
    <t xml:space="preserve"> - ссылки и автозаполняемые поля</t>
  </si>
  <si>
    <t xml:space="preserve"> - с формулами и константами</t>
  </si>
  <si>
    <t xml:space="preserve"> - обязательные для заполнения</t>
  </si>
  <si>
    <t>Работа с реестрами</t>
  </si>
  <si>
    <t>Если в предложенном Вам списке необходимая организация, территория или объект отсутствуют, обновите списки с помощью элементов управления на листах. Если после обновления Вам не удалось найти необходимую позицию в списке, обратитесь к ответственному за поддержание реестра Вашего региона либо в Отдел сопровождения пользователей ЕИАС.</t>
  </si>
  <si>
    <t>Проверка отчёта</t>
  </si>
  <si>
    <t>• При сохранении отчётной формы осуществляется проверка корректности данных_x000d_
• Для каждого сообщения возможны 2 статуса: ошибка и предупреждение_x000d_
• При наличии сообщений со статусом «Ошибка» файл будет отклонён системой и не будет загружен в хранилище данных, сообщения со статусом «Предупреждение» носят информационный характер, и такой файл будет принят к обработке системой</t>
  </si>
  <si>
    <t>28878204</t>
  </si>
  <si>
    <t>Flag_Row_Size</t>
  </si>
  <si>
    <t>Субъект РФ</t>
  </si>
  <si>
    <t>Краснодарский край</t>
  </si>
  <si>
    <t>Состав раскрываемой информации</t>
  </si>
  <si>
    <t>Привлечение к ответственности за указанный период отсутствует</t>
  </si>
  <si>
    <t>нет</t>
  </si>
  <si>
    <t>PRICE, REQUEST</t>
  </si>
  <si>
    <t>Начало_x000d_
периода регулирования</t>
  </si>
  <si>
    <t/>
  </si>
  <si>
    <t>Как заполнить?</t>
  </si>
  <si>
    <t>Начало периода регулирования</t>
  </si>
  <si>
    <t>Окончание_x000d_
периода регулирования</t>
  </si>
  <si>
    <t>Окончание периода регулирования</t>
  </si>
  <si>
    <t>ORG</t>
  </si>
  <si>
    <t>Дата_x000d_
предоставления информации</t>
  </si>
  <si>
    <t>Дата предоставления информации</t>
  </si>
  <si>
    <t>BALANCE, QUARTER, TERMS</t>
  </si>
  <si>
    <t>Год</t>
  </si>
  <si>
    <t>Отчётный период (год)</t>
  </si>
  <si>
    <t>QUARTER</t>
  </si>
  <si>
    <t>Квартал</t>
  </si>
  <si>
    <t>II квартал</t>
  </si>
  <si>
    <t>Отчётный период (квартал)</t>
  </si>
  <si>
    <t>Тип отчёта</t>
  </si>
  <si>
    <t>первичное раскрытие информации</t>
  </si>
  <si>
    <t>Дата внесения изменений в информацию, подлежащую раскрытию</t>
  </si>
  <si>
    <t>Отображается, если тип отчёта - изменение</t>
  </si>
  <si>
    <t>Данный блок предлагается заполнять из отчётной формы BALANCE.CALC.TARIFF.ххх.хххх</t>
  </si>
  <si>
    <t>Наименование органа регулирования, принявшего решение об утверждении тарифов</t>
  </si>
  <si>
    <t>Источник официального опубликования решения</t>
  </si>
  <si>
    <t>Открывается, если Тип отчёта "изменения в раскрытой ранее информации"</t>
  </si>
  <si>
    <t>Наименование органа регулирования, принявшего решение об изменении тарифов</t>
  </si>
  <si>
    <t>ГУП КК "Кубаньводкомплекс"</t>
  </si>
  <si>
    <t>Наименование (описание) обособленного подразделения</t>
  </si>
  <si>
    <t>ИНН</t>
  </si>
  <si>
    <t>2310010637</t>
  </si>
  <si>
    <t>КПП</t>
  </si>
  <si>
    <t>231101001</t>
  </si>
  <si>
    <t>Тип теплоснабжающей организации</t>
  </si>
  <si>
    <t>Система налогообложения</t>
  </si>
  <si>
    <t>ОСН</t>
  </si>
  <si>
    <t>Отсутствует Интернет в границах территории МО, где организация осуществляет регулируемые виды деятельности</t>
  </si>
  <si>
    <t>Опубликовать индикативный предельный уровень цен на тепловую энергию (мощность)</t>
  </si>
  <si>
    <t>График поэтапного равномерного доведения предельного уровня цены на тепловую энергию (мощность)</t>
  </si>
  <si>
    <r>
      <t xml:space="preserve">Тариф на горячую воду предлагается </t>
    </r>
    <r>
      <rPr>
        <b/>
        <sz val="9"/>
        <rFont val="Tahoma"/>
        <family val="2"/>
        <charset val="204"/>
      </rPr>
      <t>с (!)</t>
    </r>
    <r>
      <rPr>
        <sz val="9"/>
        <rFont val="Tahoma"/>
        <family val="2"/>
        <charset val="204"/>
      </rPr>
      <t xml:space="preserve"> разбивкой по поставщикам</t>
    </r>
  </si>
  <si>
    <r>
      <t xml:space="preserve">Тариф на горячую воду предлагается </t>
    </r>
    <r>
      <rPr>
        <b/>
        <sz val="9"/>
        <rFont val="Tahoma"/>
        <family val="2"/>
        <charset val="204"/>
      </rPr>
      <t>без (!)</t>
    </r>
    <r>
      <rPr>
        <sz val="9"/>
        <rFont val="Tahoma"/>
        <family val="2"/>
        <charset val="204"/>
      </rPr>
      <t xml:space="preserve"> разбивки на компоненты</t>
    </r>
  </si>
  <si>
    <t>Организация осуществляет поставку товаров (оказание услуг) только по нерегулируемым ценам</t>
  </si>
  <si>
    <t>Регулируемая организация осуществляет сдачу годового бухгалтерского баланса в налоговые органы</t>
  </si>
  <si>
    <t>Дата направления годового бухгалтерского баланса в налоговые органы</t>
  </si>
  <si>
    <t>Превышает ли выручка от регулируемой деятельности 80% совокупной выручки за отчетный год</t>
  </si>
  <si>
    <t>Организация выполняет инвестиционную программу</t>
  </si>
  <si>
    <t>да</t>
  </si>
  <si>
    <t>Детализация инвестиционных программ осуществляется</t>
  </si>
  <si>
    <t>Оператор по обращению с твёрдыми коммунальными отходами, осуществляет деятельность по транспортированию твёрдых коммунальных отходов</t>
  </si>
  <si>
    <t>Почтовый адрес регулируемой организации</t>
  </si>
  <si>
    <t>350062, Краснодарский край, г. Краснодар, ул. Каляева, 196</t>
  </si>
  <si>
    <t>Фамилия, имя, отчество руководителя</t>
  </si>
  <si>
    <t>Лазарев Александр Александрович</t>
  </si>
  <si>
    <t>Ответственный за заполнение формы</t>
  </si>
  <si>
    <t>Фамилия, имя, отчество</t>
  </si>
  <si>
    <t>Огиенко Алёна Олеговна</t>
  </si>
  <si>
    <t>Должность</t>
  </si>
  <si>
    <t>Начальник производственно-технического управления</t>
  </si>
  <si>
    <t>Контактный телефон</t>
  </si>
  <si>
    <t>+7-861-226-73-00</t>
  </si>
  <si>
    <t>E-mail</t>
  </si>
  <si>
    <t>kubanaqua@mail.ru</t>
  </si>
  <si>
    <t>Flag_Col_Size</t>
  </si>
  <si>
    <t>МР</t>
  </si>
  <si>
    <t>МО</t>
  </si>
  <si>
    <t>ОКТМО</t>
  </si>
  <si>
    <t>Муниципальный район</t>
  </si>
  <si>
    <t>Муниципальное образование</t>
  </si>
  <si>
    <t>№ п/п</t>
  </si>
  <si>
    <t>Наименование</t>
  </si>
  <si>
    <t>3</t>
  </si>
  <si>
    <t>4</t>
  </si>
  <si>
    <t>6</t>
  </si>
  <si>
    <t>7</t>
  </si>
  <si>
    <t>размерженный МР</t>
  </si>
  <si>
    <t>флаг используемости территории на листе Перечень тарифов</t>
  </si>
  <si>
    <t>копия территорий</t>
  </si>
  <si>
    <t>МР (ОКТМО)</t>
  </si>
  <si>
    <t>ter_1</t>
  </si>
  <si>
    <t>98</t>
  </si>
  <si>
    <t>Ейский муниципальный район</t>
  </si>
  <si>
    <t>Ейское городское</t>
  </si>
  <si>
    <t>03616101</t>
  </si>
  <si>
    <t>Добавить МО</t>
  </si>
  <si>
    <t>Добавить территорию оказания услуг</t>
  </si>
  <si>
    <t>Добавить территорию действия тарифа</t>
  </si>
  <si>
    <t>Вид деятельности</t>
  </si>
  <si>
    <t>Дифференциация по территориям</t>
  </si>
  <si>
    <t>Дифференциация по централизованным системам</t>
  </si>
  <si>
    <t>да/нет</t>
  </si>
  <si>
    <t>1</t>
  </si>
  <si>
    <t>2</t>
  </si>
  <si>
    <t>5</t>
  </si>
  <si>
    <t>8</t>
  </si>
  <si>
    <t>ID_DIFF</t>
  </si>
  <si>
    <t>VD</t>
  </si>
  <si>
    <t>AREA</t>
  </si>
  <si>
    <t>SYSTEM</t>
  </si>
  <si>
    <t>Ейский групповой водопровод (разводящие сети)</t>
  </si>
  <si>
    <t>diff_1</t>
  </si>
  <si>
    <t>4189714; 4189713; 4189712</t>
  </si>
  <si>
    <t>a</t>
  </si>
  <si>
    <t>Добавить централизованную систему</t>
  </si>
  <si>
    <t>Добавить описание территории</t>
  </si>
  <si>
    <t>Добавить вид деятельности</t>
  </si>
  <si>
    <t>Вид тарифа</t>
  </si>
  <si>
    <t>Наименование тарифа</t>
  </si>
  <si>
    <t>Дифференциация по_x000d_
 МО (территориям)</t>
  </si>
  <si>
    <t>Дифференциация по _x000d_
централизованным системам</t>
  </si>
  <si>
    <t>Дифференциация по источникам тепловой энергии</t>
  </si>
  <si>
    <t>Примечание</t>
  </si>
  <si>
    <t>Установлен для организации</t>
  </si>
  <si>
    <t>Описание</t>
  </si>
  <si>
    <t>TER_ID</t>
  </si>
  <si>
    <t>VTAR_ID</t>
  </si>
  <si>
    <t>VD_ID</t>
  </si>
  <si>
    <t>ID_VTAR</t>
  </si>
  <si>
    <t>ID_NTAR</t>
  </si>
  <si>
    <t>ID_TER</t>
  </si>
  <si>
    <t>ID_CS</t>
  </si>
  <si>
    <t>ID_IST_TE</t>
  </si>
  <si>
    <t>ВидТарифа</t>
  </si>
  <si>
    <t>ВидДеятельности</t>
  </si>
  <si>
    <t>НаименованиеТарифа</t>
  </si>
  <si>
    <t>Территория</t>
  </si>
  <si>
    <t>ЦентрализованнаяСистема</t>
  </si>
  <si>
    <t>ИсточникТепловойЭнергии</t>
  </si>
  <si>
    <t>№ п.п НаименованиеТарифа</t>
  </si>
  <si>
    <t>№ п.п Территория</t>
  </si>
  <si>
    <t>№ п.п ЦентрализованнаяСистема</t>
  </si>
  <si>
    <t>№ п.п ИсточникТепловойЭнергии</t>
  </si>
  <si>
    <t>9</t>
  </si>
  <si>
    <t>10</t>
  </si>
  <si>
    <t>11</t>
  </si>
  <si>
    <t>12</t>
  </si>
  <si>
    <t>13</t>
  </si>
  <si>
    <t>14</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</si>
  <si>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t>
  </si>
  <si>
    <t>pIns_PT_VTAR_A</t>
  </si>
  <si>
    <t>pt_ntar_1</t>
  </si>
  <si>
    <t>pt_ter_1</t>
  </si>
  <si>
    <t>pt_cs_1</t>
  </si>
  <si>
    <t>pt_ist_te_1</t>
  </si>
  <si>
    <t>pIns_PT_VTAR_B</t>
  </si>
  <si>
    <t>pt_ntar_2</t>
  </si>
  <si>
    <t>pt_ter_2</t>
  </si>
  <si>
    <t>pt_cs_2</t>
  </si>
  <si>
    <t>pt_ist_te_2</t>
  </si>
  <si>
    <t>Тарифы на тепловую энергию (мощность), поставляемую теплоснабжающими организациями потребителям, другим теплоснабжающим организациям</t>
  </si>
  <si>
    <t>Тарифы на теплоноситель, поставляемый теплоснабжающими организациями потребителям, другим теплоснабжающим организациям</t>
  </si>
  <si>
    <t>pIns_PT_VTAR_C</t>
  </si>
  <si>
    <t>pt_ntar_3</t>
  </si>
  <si>
    <t>pt_ter_3</t>
  </si>
  <si>
    <t>pt_cs_3</t>
  </si>
  <si>
    <t>pt_ist_te_3</t>
  </si>
  <si>
    <t>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t>
  </si>
  <si>
    <t>pIns_PT_VTAR_D</t>
  </si>
  <si>
    <t>pt_ntar_4</t>
  </si>
  <si>
    <t>pt_ter_4</t>
  </si>
  <si>
    <t>pt_cs_4</t>
  </si>
  <si>
    <t>pt_ist_te_4</t>
  </si>
  <si>
    <t>Тарифы на услуги по передаче тепловой энергии</t>
  </si>
  <si>
    <t>pIns_PT_VTAR_E1</t>
  </si>
  <si>
    <t>pt_ntar_5</t>
  </si>
  <si>
    <t>pt_ter_5</t>
  </si>
  <si>
    <t>pt_cs_5</t>
  </si>
  <si>
    <t>pt_ist_te_5</t>
  </si>
  <si>
    <t>Тарифы на услуги по передаче теплоносителя</t>
  </si>
  <si>
    <t>pIns_PT_VTAR_E2</t>
  </si>
  <si>
    <t>pt_ntar_6</t>
  </si>
  <si>
    <t>pt_ter_6</t>
  </si>
  <si>
    <t>pt_cs_6</t>
  </si>
  <si>
    <t>pt_ist_te_6</t>
  </si>
  <si>
    <t>Плата за услуги по поддержанию резервной тепловой мощности при отсутствии потребления тепловой энергии</t>
  </si>
  <si>
    <t>pIns_PT_VTAR_F</t>
  </si>
  <si>
    <t>pt_ntar_7</t>
  </si>
  <si>
    <t>pt_ter_7</t>
  </si>
  <si>
    <t>pt_cs_7</t>
  </si>
  <si>
    <t>pt_ist_te_7</t>
  </si>
  <si>
    <t>Плата за подключение (технологическое присоединение) к системе теплоснабжения</t>
  </si>
  <si>
    <t>pIns_PT_VTAR_G</t>
  </si>
  <si>
    <t>pt_ntar_8</t>
  </si>
  <si>
    <t>pt_ter_8</t>
  </si>
  <si>
    <t>pt_cs_8</t>
  </si>
  <si>
    <t>pt_ist_te_8</t>
  </si>
  <si>
    <t>Плата за подключение (технологическое присоединение) к системе теплоснабжения (индивидуальная)</t>
  </si>
  <si>
    <t>pIns_PT_VTAR_H</t>
  </si>
  <si>
    <t>pt_ntar_20</t>
  </si>
  <si>
    <t>pt_ter_20</t>
  </si>
  <si>
    <t>pt_cs_20</t>
  </si>
  <si>
    <t>pt_ist_te_20</t>
  </si>
  <si>
    <t>Предельный уровень цены на тепловую энергию (мощность), поставляемую теплоснабжающими организациями потребителям</t>
  </si>
  <si>
    <t>pIns_PT_VTAR_I</t>
  </si>
  <si>
    <t>pt_ntar_21</t>
  </si>
  <si>
    <t>pt_ter_21</t>
  </si>
  <si>
    <t>pt_cs_21</t>
  </si>
  <si>
    <t>pt_ist_te_21</t>
  </si>
  <si>
    <t>Информация о регулируемых ценах (тарифах) на товары (услуги) единой теплоснабжающей организации в ценовых зонах теплоснабжения включает сведения:</t>
  </si>
  <si>
    <t>- о предельном уровне цены на тепловую энергию (мощность), поставляемую потребителям, об индикативном предельном уровне цены на тепловую энергию (мощность) и о графике поэтапного равномерного доведения предельного уровня цены на тепловую энергию (мощность) (при наличии), определяемых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ПП РФ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t>
  </si>
  <si>
    <t>-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</si>
  <si>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</si>
  <si>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 о плате за подключение (технологическое присоединение) к системе теплоснабжения, применяемой в случае, установленном частью 9 статьи 23.4 ФЗ "О теплоснабжении".</t>
  </si>
  <si>
    <t>Информация о регулируемых ценах (тарифах) на товары (услуги) теплоснабжающей организации и теплосетевой организации в ценовых зонах теплоснабжения включает сведения:</t>
  </si>
  <si>
    <t>- о тарифах на теплоноситель в виде воды, поставляемый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</si>
  <si>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товары (услуги) в сфере теплоснабжения в случаях, указанных в частях 12.1 - 12.4 статьи 10 ФЗ "О теплоснабжении"</t>
  </si>
  <si>
    <t>Тариф на питьевую воду (питьевое водоснабжение)</t>
  </si>
  <si>
    <t>pIns_PT_VTAR_A_COLDVSNA</t>
  </si>
  <si>
    <t>pt_ntar_9</t>
  </si>
  <si>
    <t>pt_ter_9</t>
  </si>
  <si>
    <t>pt_cs_9</t>
  </si>
  <si>
    <t>Тариф на техническую воду</t>
  </si>
  <si>
    <t>pIns_PT_VTAR_B_COLDVSNA</t>
  </si>
  <si>
    <t>pt_ntar_10</t>
  </si>
  <si>
    <t>pt_ter_10</t>
  </si>
  <si>
    <t>pt_cs_10</t>
  </si>
  <si>
    <t>Тариф на транспортировку воды</t>
  </si>
  <si>
    <t>pIns_PT_VTAR_C_COLDVSNA</t>
  </si>
  <si>
    <t>pt_ntar_11</t>
  </si>
  <si>
    <t>pt_ter_11</t>
  </si>
  <si>
    <t>pt_cs_11</t>
  </si>
  <si>
    <t>Тариф на подвоз воды</t>
  </si>
  <si>
    <t>pIns_PT_VTAR_D_COLDVSNA</t>
  </si>
  <si>
    <t>pt_ntar_12</t>
  </si>
  <si>
    <t>pt_ter_12</t>
  </si>
  <si>
    <t>pt_cs_12</t>
  </si>
  <si>
    <t>Тариф на подключение (технологическое присоединение) к централизованной системе холодного водоснабжения</t>
  </si>
  <si>
    <t>pIns_PT_VTAR_E_COLDVSNA</t>
  </si>
  <si>
    <t>pt_ntar_13</t>
  </si>
  <si>
    <t>pt_ter_13</t>
  </si>
  <si>
    <t>pt_cs_13</t>
  </si>
  <si>
    <t>Тариф на горячую воду (горячее водоснабжение)</t>
  </si>
  <si>
    <t>pIns_PT_VTAR_A_HOTVSNA</t>
  </si>
  <si>
    <t>pt_ntar_14</t>
  </si>
  <si>
    <t>pt_ter_14</t>
  </si>
  <si>
    <t>pt_cs_14</t>
  </si>
  <si>
    <t>Тариф на транспортировку горячей воды</t>
  </si>
  <si>
    <t>pIns_PT_VTAR_B_HOTVSNA</t>
  </si>
  <si>
    <t>pt_ntar_15</t>
  </si>
  <si>
    <t>pt_ter_15</t>
  </si>
  <si>
    <t>pt_cs_15</t>
  </si>
  <si>
    <t>Тариф на подключение (технологическое присоединение) к централизованной системе горячего водоснабжения</t>
  </si>
  <si>
    <t>pIns_PT_VTAR_C_HOTVSNA</t>
  </si>
  <si>
    <t>pt_ntar_16</t>
  </si>
  <si>
    <t>pt_ter_16</t>
  </si>
  <si>
    <t>pt_cs_16</t>
  </si>
  <si>
    <t>Тариф на водоотведение</t>
  </si>
  <si>
    <t>pIns_PT_VTAR_A_VOTV</t>
  </si>
  <si>
    <t>pt_ntar_17</t>
  </si>
  <si>
    <t>pt_ter_17</t>
  </si>
  <si>
    <t>pt_cs_17</t>
  </si>
  <si>
    <t>Тариф на транспортировку сточных вод</t>
  </si>
  <si>
    <t>pIns_PT_VTAR_B_VOTV</t>
  </si>
  <si>
    <t>pt_ntar_18</t>
  </si>
  <si>
    <t>pt_ter_18</t>
  </si>
  <si>
    <t>pt_cs_18</t>
  </si>
  <si>
    <t>Тариф на подключение (технологическое присоединение) к централизованной системе водоотведения</t>
  </si>
  <si>
    <t>pIns_PT_VTAR_C_VOTV</t>
  </si>
  <si>
    <t>pt_ntar_19</t>
  </si>
  <si>
    <t>pt_ter_19</t>
  </si>
  <si>
    <t>pt_cs_19</t>
  </si>
  <si>
    <t>fdif</t>
  </si>
  <si>
    <t>fdif_e</t>
  </si>
  <si>
    <t>fdif_1</t>
  </si>
  <si>
    <t>Дифференциация тарифов в области обращения с твердыми коммунальными отходами</t>
  </si>
  <si>
    <t>Дифференциация по технологическим особенностям</t>
  </si>
  <si>
    <t>Дифференциация по территории оказания услуг</t>
  </si>
  <si>
    <t>Дифференциация по виду твердых коммунальных отходов</t>
  </si>
  <si>
    <t>Дифференциация по классу опасности твердых коммунальных отходов</t>
  </si>
  <si>
    <t>Комментарий</t>
  </si>
  <si>
    <t>Дифференциация, да/нет</t>
  </si>
  <si>
    <t>Значение</t>
  </si>
  <si>
    <t>Тарифы</t>
  </si>
  <si>
    <t>Прочие показатели</t>
  </si>
  <si>
    <t>AREA_ID</t>
  </si>
  <si>
    <t>Оказание услуги по обращению с твердыми коммунальными отходами региональным оператором</t>
  </si>
  <si>
    <t>Единый тариф на услугу регионального оператора по обращению с твердыми коммунальными отходами</t>
  </si>
  <si>
    <t>Тариф на обработку твердых коммунальных отходов</t>
  </si>
  <si>
    <t>Тариф на обезвреживание твердых коммунальных отходов</t>
  </si>
  <si>
    <t>Тариф на захоронение твердых коммунальных отходов</t>
  </si>
  <si>
    <t>Тариф на энергетическую утилизацию</t>
  </si>
  <si>
    <t>Фирменное наименование юридического лица (согласно уставу регулируемой организации)</t>
  </si>
  <si>
    <t>Параметры формы</t>
  </si>
  <si>
    <t>Описание параметров формы</t>
  </si>
  <si>
    <t>Наименование параметра</t>
  </si>
  <si>
    <t>Информация</t>
  </si>
  <si>
    <t>Субъект Российской Федерации</t>
  </si>
  <si>
    <t>Указывается наименование субъекта Российской Федерации</t>
  </si>
  <si>
    <t>x</t>
  </si>
  <si>
    <t>2.2</t>
  </si>
  <si>
    <t>идентификационный номер налогоплательщика (ИНН)</t>
  </si>
  <si>
    <t>Указывается идентификационный номер налогоплательщика.</t>
  </si>
  <si>
    <t>2.3</t>
  </si>
  <si>
    <t>код причины постановки на учет (КПП)</t>
  </si>
  <si>
    <t>Указывается код причины постановки на учет (при наличии).</t>
  </si>
  <si>
    <t>5.1</t>
  </si>
  <si>
    <t>Сведения о присвоении статуса единой теплоснабжающей организации:</t>
  </si>
  <si>
    <t>Информация в строках 5.x.1 - 5.x.4 указывается только едиными теплоснабжающими организациями.</t>
  </si>
  <si>
    <t>наименование органа, принявшего решение о присвоении статуса единой теплоснабжающей организации</t>
  </si>
  <si>
    <t>дата решения</t>
  </si>
  <si>
    <t>Дата принятия решения о присвоении статуса единой теплоснабжающей организации указывается в виде «ДД.ММ.ГГГГ».</t>
  </si>
  <si>
    <t>номер решения</t>
  </si>
  <si>
    <t>границы зоны (зон) деятельности</t>
  </si>
  <si>
    <t>Указывается описание зоны (зон) деятельности единой теплоснабжающей организации.</t>
  </si>
  <si>
    <t>Добавить сведения</t>
  </si>
  <si>
    <t>Данные должностного лица, ответственного за размещение данных</t>
  </si>
  <si>
    <t>3.1</t>
  </si>
  <si>
    <t>фамилия, имя и отчество должностного лица</t>
  </si>
  <si>
    <t>3.1.1</t>
  </si>
  <si>
    <t>фамилия должностного лица</t>
  </si>
  <si>
    <t>3.1.2</t>
  </si>
  <si>
    <t>имя должностного лица</t>
  </si>
  <si>
    <t>3.1.3</t>
  </si>
  <si>
    <t>отчество должностного лица</t>
  </si>
  <si>
    <t>3.2</t>
  </si>
  <si>
    <t>должность</t>
  </si>
  <si>
    <t>3.3</t>
  </si>
  <si>
    <t>контактный телефон</t>
  </si>
  <si>
    <t>3.4</t>
  </si>
  <si>
    <t>адрес электронной почты</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</si>
  <si>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ФГИС ЕИАС.</t>
  </si>
  <si>
    <t>Добавить контактный телефон</t>
  </si>
  <si>
    <t>Указывается при наличии</t>
  </si>
  <si>
    <t>Режим работы</t>
  </si>
  <si>
    <t>Указывается режим работы регулируемой организации. В случае наличия нескольких режимов работы регулируемой организации, информация по каждому из них указывается в отдельной строке.</t>
  </si>
  <si>
    <t>режим работы абонентских отделов</t>
  </si>
  <si>
    <t>Указывается режим работы абонентских отделов регулируемой организации. В случае наличия нескольких абонентских отделов и (или) режимов работы абонентских отделов, информация по каждому из них указывается в отдельной строке.</t>
  </si>
  <si>
    <t>режим работы сбытовых подразделений</t>
  </si>
  <si>
    <t>Указывается режим работы сбытовых подразделений регулируемой организации. В случае наличия нескольких сбытовых подразделений и (или) режимов работы сбытовых подразделений, информация по каждому из них указывается в отдельной строке.</t>
  </si>
  <si>
    <t>режим работы диспетчерских служб</t>
  </si>
  <si>
    <t>Указывается режим работы диспетчерских служб регулируемой организации. В случае наличия нескольких диспетчерских служб и (или) режимов работы диспетчерских служб, информация по каждому из них указывается в отдельной строке.</t>
  </si>
  <si>
    <t>Добавить режим работы</t>
  </si>
  <si>
    <t>В случае наличия дополнительных режимов работы регулируемой организации (подразделений регулируемой организации) информация по каждому из них указывается в отдельной строке.</t>
  </si>
  <si>
    <t>Наличие или отсутствие утвержденной в установленном порядке инвестиционной программы</t>
  </si>
  <si>
    <t>BLOCK_MAIN_INFO_OBJECT_HEAT</t>
  </si>
  <si>
    <t>BLOCK_MAIN_INFO_OBJECT_VOTV</t>
  </si>
  <si>
    <t>BLOCK_MAIN_INFO_OBJECT_COLDVSNA</t>
  </si>
  <si>
    <t>BLOCK_MAIN_INFO_OBJECT_HOTVSNA</t>
  </si>
  <si>
    <t>D:T</t>
  </si>
  <si>
    <t>Протяженность магистральных сетей (в однотрубном исчислении), км.</t>
  </si>
  <si>
    <t>Протяженность разводящих сетей (в однотрубном исчислении), км.</t>
  </si>
  <si>
    <t>Теплоэлектростанции</t>
  </si>
  <si>
    <t>Тепловые станции</t>
  </si>
  <si>
    <t>Котельные</t>
  </si>
  <si>
    <t>Количество центральных тепловых пунктов, шт.</t>
  </si>
  <si>
    <t>Протяженность канализационных сетей (в однотрубном исчислении), км.</t>
  </si>
  <si>
    <t>Количество насосных станций, шт.</t>
  </si>
  <si>
    <t>Количество очистных сооружений, шт.</t>
  </si>
  <si>
    <t>Протяженность водопроводных сетей (в однотрубном исчислении), км</t>
  </si>
  <si>
    <t>Количество скважин, шт.</t>
  </si>
  <si>
    <t>Количество подкачивающих насосных станций, шт.</t>
  </si>
  <si>
    <t>Протяженность сетей горячего водоснабжения (в однотрубном исчислении), км</t>
  </si>
  <si>
    <t>Количество теплоэлектростанций, шт.</t>
  </si>
  <si>
    <t>Установленная электрическая мощность</t>
  </si>
  <si>
    <t>Единицы изменения</t>
  </si>
  <si>
    <t>Установленная тепловая мощность, Гкал/ч</t>
  </si>
  <si>
    <t>Количество тепловых станций, шт.</t>
  </si>
  <si>
    <t>Количество котельных, шт.</t>
  </si>
  <si>
    <t>0</t>
  </si>
  <si>
    <t>Значения протяженности сетей, показателей в блоках "Теплоэлектростанции", "Тепловые станции", "Котельные" (за исключением колонки "Единицы измерения"), количества центральных тепловых пунктов указываются в виде целых и неотрицательных чисел._x000d_
В случае отсутствия тепловых сетей, теплоэлектростанций, тепловых станций, котельных, центральных тепловых пунктов в соответствующей колонке указывается значение 0._x000d_
В колонке "Единицы измерения" в блоке "Теплоэлектростанции" выбирается одно из значений: кВт*ч или МВт._x000d_
В случае оказания услуг в нескольких системах теплоснабжения информация по каждой из них указывается в отдельной строке.</t>
  </si>
  <si>
    <t>Значения протяженности сетей, количества насосных станций, количества очистных сооружений указываются в виде целых и  неотрицательных чисел._x000d_
В случае отсутствия канализационных сетей, насосных станций, очистных сооружений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водоотведения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водоотведения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</si>
  <si>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скважин, количества подкачивающих насосных станций указываются в виде целых и неотрицательных чисел._x000d_
В случае отсутствия водопроводных сетей, скважин, подкачивающих станций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холодного водоснабжения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холодного водоснабжения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</si>
  <si>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центральных тепловых пунктов указываются в виде целых и неотрицательных чисел._x000d_
В случае отсутствия водопроводных сетей, центральных тепловых пунктов в соответствующей колонке указывается значение 0._x000d_
В случае осуществления регулируемых видов деятельности в нескольких централизованных системах горячего водоснабжения информация по каждой из них указывается в отдельной строке.</t>
  </si>
  <si>
    <t>n</t>
  </si>
  <si>
    <t>64235586; 64235587</t>
  </si>
  <si>
    <t>Добавить вид объекта</t>
  </si>
  <si>
    <t>Форма 2. Вид деятельности и виды объектов, используемых для оказания услуг в области обращения с твердыми коммунальными отходами, и их количество</t>
  </si>
  <si>
    <t>Вид объекта, используемых для оказания услуг в области обращения с твердыми коммунальными отходами</t>
  </si>
  <si>
    <t>Количество объектов, используемых для оказания услуг в области обращения с твердыми коммунальными отходами, шт.</t>
  </si>
  <si>
    <t>Значение количества объектов, используемых для оказания услуг в области обращения с твердыми коммунальными отходами, указывается в виде целых и неотрицательных чисел._x000d_
В случае отсутствия объектов того или иного вида, используемых для оказания услуг в области обращения с твердыми коммунальными отходами, указывается значение «0»._x000d_
В случае оказания услуг по нескольким видам деятельности информация по каждому из них указывается отдельно._x000d_
В случае наличия нескольких видов объектов, используемых для оказания услуг в области обращения с твердыми коммунальными отходами, информация по каждому из них указывается отдельно.</t>
  </si>
  <si>
    <t>Информация об отсутствии сети "Интернет" &lt;1&gt;</t>
  </si>
  <si>
    <t>Отсутствует доступ к сети "Интернет"</t>
  </si>
  <si>
    <t>Ссылка на документ</t>
  </si>
  <si>
    <t>В случае отсутствия доступа к сети "Интернет" на территории выбранного муниципального образования в колонке "Отсутствует доступ к сети "Интернет" указывается "Да"._x000d_
В колонке "Ссылка на документ" указывается материал в виде ссылки на документ, подтверждающий отсутствие сети "Интернет" на территории выбранного муниципального образования, предварительно загруженный в хранилище данных ФГИС ЕИАС._x000d_
В случае отсутствия доступа к сети "Интернет" на территории нескольких муниципальных районов (муниципальных образований) информация по каждому из них указывается в отдельной строке.</t>
  </si>
  <si>
    <t>Омский муниципальный район</t>
  </si>
  <si>
    <t>Ачаирское сельское поселение</t>
  </si>
  <si>
    <t>52644404</t>
  </si>
  <si>
    <t>Ачаирское сельское поселение (52644404)</t>
  </si>
  <si>
    <t>Указывается наименование тарифа в случае утверждения нескольких тарифов._x000d_
В случае наличия нескольких тарифов информация по ним указывается в отдельных строках.</t>
  </si>
  <si>
    <t>Территория действия тарифа</t>
  </si>
  <si>
    <t>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</si>
  <si>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 xml:space="preserve">Наименование системы теплоснабжения </t>
  </si>
  <si>
    <t>Указывается наименование системы теплоснабжения при наличии дифференциации тарифа по системам теплоснабжения._x000d_
В случае дифференциации тарифов по системам теплоснабжения информация по ним указывается в отдельных строках.</t>
  </si>
  <si>
    <t xml:space="preserve">Источник тепловой энергии  </t>
  </si>
  <si>
    <t>Указывается наименование источника тепловой энергии_x000d_
В случае дифференциации тарифов по источникам тепловой энергии информация по ним указывается в отдельных строках.</t>
  </si>
  <si>
    <t>SCHEME</t>
  </si>
  <si>
    <t>Схема подключения теплопотребляющей установки к коллектору источника тепловой энергии</t>
  </si>
  <si>
    <t>Указывается схема подключения теплопотребляющей установки к коллектору источника тепловой энергии только для тарифов на тепловую энергию и за услуги по поддержанию резервной мощности_x000d_
Значение выбирается из перечня:_x000d_
   - без дифференциации_x000d_
   - к коллектору источника тепловой энергии_x000d_
   - к тепловой сети без дополнительного преобразования на тепловых пунктах, эксплуатируемых теплоснабжающей организацией_x000d_
   - к тепловой сети после тепловых пунктов (на тепловых пунктах), эксплуатируемых теплоснабжающей организацией_x000d_
В случае дифференциации тарифов по схемам подключения теплопотребляющей установки к коллектору источника тепловой энергии информация по ним указывается в отдельных строках.</t>
  </si>
  <si>
    <t>GROUP_CONSUMER</t>
  </si>
  <si>
    <t>Группа потребителей</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</si>
  <si>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группам потребителей информация по ним указывается в отдельных строках.</t>
  </si>
  <si>
    <t>TN</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</si>
  <si>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 Информация в колонке «Ставка за содержание тепловой мощности, тыс. руб./Гкал/ч/мес» указывается только для тарифа по поддержанию резервной мощности._x000d_
В случае дифференциации тарифов по периодам действия тарифа информация по ним указывается в отдельных колонках._x000d_
В случае дифференциации тарифов по видам теплоносителя информация по ним указывается в отдельных строках.</t>
  </si>
  <si>
    <t>Добавить вид теплоносителя (параметры теплоносителя)</t>
  </si>
  <si>
    <t>Добавить группу потребителей</t>
  </si>
  <si>
    <t>Добавить схему подключения</t>
  </si>
  <si>
    <t>Добавить источник для дифференциации</t>
  </si>
  <si>
    <t>Добавить централизованную систему для дифференциации</t>
  </si>
  <si>
    <t>Добавить территорию для дифференциации</t>
  </si>
  <si>
    <t>PERIOD_FROM_FIRST_ROW</t>
  </si>
  <si>
    <t>FLAG_BLOCK_COLUMN</t>
  </si>
  <si>
    <t>SPR</t>
  </si>
  <si>
    <t>FLAG_START_DATE</t>
  </si>
  <si>
    <t>FLAG_ETC_PERIOD</t>
  </si>
  <si>
    <t>FLAG_END_DATE</t>
  </si>
  <si>
    <t>Дата документа об утверждении тарифов</t>
  </si>
  <si>
    <t>Номер документа об утверждении тарифов</t>
  </si>
  <si>
    <t>Дата подачи заявления об утверждении тарифов</t>
  </si>
  <si>
    <t>Номер подачи заявления об утверждении тарифов</t>
  </si>
  <si>
    <t>dp</t>
  </si>
  <si>
    <t>Параметр дифференциации тарифа</t>
  </si>
  <si>
    <t>Величина и срок действия тарифа</t>
  </si>
  <si>
    <t>Наличие других периодов действия тарифа</t>
  </si>
  <si>
    <t>Наличие других сроков действия тарифа</t>
  </si>
  <si>
    <t>Добавить срок действия</t>
  </si>
  <si>
    <t>Одноставочный тариф,_x000d_
руб./Гкал</t>
  </si>
  <si>
    <t>Ставка за содержание тепловой мощности,_x000d_
тыс. руб./Гкал/ч/мес.</t>
  </si>
  <si>
    <t>Двухставочный тариф</t>
  </si>
  <si>
    <t>Срок действия</t>
  </si>
  <si>
    <t>NUM_NTAR</t>
  </si>
  <si>
    <t>NUM_TER</t>
  </si>
  <si>
    <t>NUM_CS</t>
  </si>
  <si>
    <t>NUM_IST_TE</t>
  </si>
  <si>
    <t>NUM_SCHEME</t>
  </si>
  <si>
    <t>NUM_GC</t>
  </si>
  <si>
    <t>NUM_TN</t>
  </si>
  <si>
    <t>ставка за тепловую энергию,_x000d_
руб./Гкал</t>
  </si>
  <si>
    <t>ставка за содержание тепловой мощности,_x000d_
тыс. руб./Гкал/ч/мес</t>
  </si>
  <si>
    <t>дата начала</t>
  </si>
  <si>
    <t>дата окончания</t>
  </si>
  <si>
    <t>Добавить наименование тарифа</t>
  </si>
  <si>
    <t>Период действия</t>
  </si>
  <si>
    <t>Одноставочный тариф,_x000d_
руб./куб.м</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</si>
  <si>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тариф колонка "Одноставочный тариф" не заполняется._x000d_
При подаче утверждении одноставочного тарифа колонки в блоке "Двухставочный тариф" не заполняются.Информация в колонке "Двухставочный тариф" не указывается для тарифа на теплоноситель._x000d_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"Нет".В случае дифференциации тарифов по видам теплоносителя информация по ним указывается в отдельных строках.</t>
  </si>
  <si>
    <t>Указывается вид теплоносителя. 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В случае дифференциации тарифов по видам теплоносителя информация по ним указывается в отдельных строках.</t>
  </si>
  <si>
    <t>В колонке "Параметр дифференциации тарифов" указывается наименование поставщика в случае наличия дифференциации компонента двухставочного тарифа на горячую воду по поставщикам._x000d_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заполняются._x000d_
В случае отсутствия разбивки тарифа на компоненты колонки "Компонент на теплоноситель, руб./куб. м" и "Одноставочный компонент на тепловую энергию, руб/Гкал" не заполняются._x000d_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"Нет"._x000d_
В случае дифференциации тарифов по поставщикам информация по ним указывается в отдельных строках.</t>
  </si>
  <si>
    <t>Добавить наименование поставщика</t>
  </si>
  <si>
    <t>Одноставочный тариф на горячую воду,_x000d_
руб./куб. м</t>
  </si>
  <si>
    <t>Двухкомпонентный тариф на горячую воду</t>
  </si>
  <si>
    <t>Компонент на теплоноситель,_x000d_
руб./куб. м</t>
  </si>
  <si>
    <t>Компонента на тепловую энергию</t>
  </si>
  <si>
    <t>Одноставочный компонент тарифа на тепловую энергию,_x000d_
руб/Гкал</t>
  </si>
  <si>
    <t>Двухставочный компонент тарифа на тепловую энергию</t>
  </si>
  <si>
    <t>NUM_CONS</t>
  </si>
  <si>
    <t>ставка за потребление горячей воды,_x000d_
руб./куб. м</t>
  </si>
  <si>
    <t>ставка за содержание тепловой мощности в компоненте на тепловую энергию,_x000d_
тыс. руб./Гкал/ч в мес.</t>
  </si>
  <si>
    <t>В колонке "Параметр дифференциации тарифа/Заявитель"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</si>
  <si>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диапазон диаметров тепловых сетей</t>
  </si>
  <si>
    <t>Добавить тип прокладки тепловых сетей</t>
  </si>
  <si>
    <t>Добавить подключаемую тепловую нагрузку</t>
  </si>
  <si>
    <t>Добавить строку</t>
  </si>
  <si>
    <t>FLAG</t>
  </si>
  <si>
    <t>LOAD</t>
  </si>
  <si>
    <t>NETS</t>
  </si>
  <si>
    <t>DIAMETERS</t>
  </si>
  <si>
    <t>Параметр дифференциации тарифа/ заявитель/ наименование объекта/адрес</t>
  </si>
  <si>
    <t>Подключаемая тепловая нагрузка,_x000d_
Гкал/ч</t>
  </si>
  <si>
    <t>Тип прокладки тепловых сетей</t>
  </si>
  <si>
    <t>Диаметр тепловых сетей,_x000d_
мм</t>
  </si>
  <si>
    <t>Плата за подключение (технологическое присоединение)</t>
  </si>
  <si>
    <t>с НДС</t>
  </si>
  <si>
    <t>без НДС</t>
  </si>
  <si>
    <t>В колонке "Параметр дифференциации тарифа/заявитель/наименование объекта/адрес"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</si>
  <si>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Наименование централизованной системы холодного водоснабжения</t>
  </si>
  <si>
    <t>Указывается наименование централизованной системы холодного водоснабжения при наличии дифференциации тарифа по централизованным системам холодного водоснабжения._x000d_
В случае дифференциации тарифов по централизованным системам холодного водоснабжения информация по ним указывается в отдельных строках.</t>
  </si>
  <si>
    <t>Наименование признака дифференциации</t>
  </si>
  <si>
    <t>Указывается наименование дополнительного признака дифференциации (при наличии)._x000d_
Дифференциация тарифа осуществляется в соответствии с законодательством в сфере водоснабжения и водоотведения._x000d_
В случае дифференциации тарифов по дополнительным признакам информация по ним указывается в отдельных строках.</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</si>
  <si>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по группам потребителей информация по ним указывается в отдельных строках.</t>
  </si>
  <si>
    <t>Добавить значение признака дифференциации</t>
  </si>
  <si>
    <t>В случае наличия нескольких значений признака дифференциации тарифов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</si>
  <si>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наименование признака дифференциации</t>
  </si>
  <si>
    <t>Одноставочный тариф</t>
  </si>
  <si>
    <t>NUM_FLAG_DIFF</t>
  </si>
  <si>
    <t>NUM_DATA_DIFF</t>
  </si>
  <si>
    <t>Одноставочный тариф,_x000d_
руб./куб. м</t>
  </si>
  <si>
    <t>ставка платы за объем поданной воды,_x000d_
руб./куб. м</t>
  </si>
  <si>
    <t>ставка платы за содержание мощности,_x000d_
руб./куб. м в час</t>
  </si>
  <si>
    <t>pt_ist_te_9</t>
  </si>
  <si>
    <t>pt_ist_te_10</t>
  </si>
  <si>
    <t>pt_ist_te_11</t>
  </si>
  <si>
    <t>pt_ist_te_12</t>
  </si>
  <si>
    <t>Заявитель</t>
  </si>
  <si>
    <t>Наименование объекта, адрес</t>
  </si>
  <si>
    <t>В колонке "Параметр дифференциации тарифа/Заявитель" указывается наименование категории потребителей/заявителя,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дифференциации по категориям потребителей/заявителям, подключаемой нагрузке, диапазону диаметров, протяженности, условиям прокладки водопроводной сети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</si>
  <si>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условия прокладки сетей</t>
  </si>
  <si>
    <t>Добавить протяженность водопроводной сети</t>
  </si>
  <si>
    <t>Добавить диапазон диаметров водопроводной сети</t>
  </si>
  <si>
    <t>Добавить подключаемую нагрузку</t>
  </si>
  <si>
    <t>DIAMETERS_2</t>
  </si>
  <si>
    <t>Параметр дифференциации тарифа/Заявитель/Наименование объекта/Адрес</t>
  </si>
  <si>
    <t>Подключаемая нагрузка водопроводной сети,_x000d_
куб. м/сут</t>
  </si>
  <si>
    <t>Диапазон диаметров водопроводной сети,_x000d_
мм</t>
  </si>
  <si>
    <t>Протяженность водопроводной сети,_x000d_
км</t>
  </si>
  <si>
    <t>Условия прокладки сетей</t>
  </si>
  <si>
    <t>Ставка тарифа за подключаемую нагрузку водопроводной сети,_x000d_
тыс. руб./куб. м в сутки</t>
  </si>
  <si>
    <t>Ставка тарифа за протяженность водопроводной сети диаметром d,_x000d_
тыс. руб./км</t>
  </si>
  <si>
    <t>Срок действия тарифов</t>
  </si>
  <si>
    <t>pt_ist_te_13</t>
  </si>
  <si>
    <t>Наименование централизованной системы водоотведения</t>
  </si>
  <si>
    <t>Указывается наименование централизованной системы водоотведения при наличии дифференциации тарифа по централизованным системам водоотведения._x000d_
В случае дифференциации тарифов по централизованным системам водоотведения информация по ним указывается в отдельных строках.</t>
  </si>
  <si>
    <t>одноставочный тариф,_x000d_
руб./куб. м</t>
  </si>
  <si>
    <t>ставка платы за объем _x000d_
принятых сточных вод,_x000d_
руб./куб. м</t>
  </si>
  <si>
    <t>pt_ist_te_17</t>
  </si>
  <si>
    <t>pt_ist_te_18</t>
  </si>
  <si>
    <t>Добавить протяженность сети</t>
  </si>
  <si>
    <t>Добавить диапазон диаметров</t>
  </si>
  <si>
    <t>Подключаемая нагрузка канализационной сети,_x000d_
куб. м/сут</t>
  </si>
  <si>
    <t>Диапазон диаметров канализационной сети,_x000d_
мм</t>
  </si>
  <si>
    <t>Протяженность канализационной  сети,_x000d_
км</t>
  </si>
  <si>
    <t>Ставка тарифа за подключаемую нагрузку канализационной сети,_x000d_
тыс. руб./куб. м в сутки</t>
  </si>
  <si>
    <t>Ставка тарифа за протяженность канализационной сети диаметром d,_x000d_
тыс. руб./км</t>
  </si>
  <si>
    <t>pt_ist_te_19</t>
  </si>
  <si>
    <t>Наименование централизованной системы горячего водоснабжения</t>
  </si>
  <si>
    <t>Указывается наименование централизованной системы горячего водоснабжения при наличии дифференциации тарифа по централизованным системам горячего водоснабжения._x000d_
В случае дифференциации тарифов по централизованным системам горячего водоснабжения информация по ним указывается в отдельных строках.</t>
  </si>
  <si>
    <t>Одноставочный тариф, руб./куб. м</t>
  </si>
  <si>
    <t>Компонент на холодную воду</t>
  </si>
  <si>
    <t>Компонент на тепловую энергию</t>
  </si>
  <si>
    <t>Одноставочный, руб./куб.м</t>
  </si>
  <si>
    <t>Двухставочный тариф</t>
  </si>
  <si>
    <t>Одноставочный, руб./Гкал</t>
  </si>
  <si>
    <t>Ставка за содержание системы, руб./куб. м в час</t>
  </si>
  <si>
    <t>Ставка за объём поданной воды, руб./куб.м</t>
  </si>
  <si>
    <t>Ставка за тепловую энергию, руб./Гкал</t>
  </si>
  <si>
    <t>Ставка за содержание тепловой мощности, руб./Гкал в час в месяц</t>
  </si>
  <si>
    <t>pt_ist_te_14</t>
  </si>
  <si>
    <t>pt_ist_te_15</t>
  </si>
  <si>
    <t>pt_ist_te_16</t>
  </si>
  <si>
    <t>vt</t>
  </si>
  <si>
    <t>х</t>
  </si>
  <si>
    <t>В колонке «Наименование параметра» указывается вид приобретаемого топлива._x000d_
Если приобретается несколько видов топлива, то информация по каждому из них указывается отдельно.</t>
  </si>
  <si>
    <t>общая стоимость</t>
  </si>
  <si>
    <t>объём</t>
  </si>
  <si>
    <t>В колонке «Единица измерения» указываются единицы измерения объема приобретаемого топлива._x000d_
В колонке «Информация» указывается величина объема приобретаемого топлива.</t>
  </si>
  <si>
    <t>стоимость за единицу объёма</t>
  </si>
  <si>
    <t>тыс. руб.</t>
  </si>
  <si>
    <t>стоимость доставки</t>
  </si>
  <si>
    <t>способ приобретения</t>
  </si>
  <si>
    <t>Указываются прочие расходы, которые подлежат отнесению на регулируемые виды деятельности в соответствии с законодательством.</t>
  </si>
  <si>
    <t>Гкал/ч</t>
  </si>
  <si>
    <t>Указывается установленная тепловая мощность для источника тепловой энергии.</t>
  </si>
  <si>
    <t>%</t>
  </si>
  <si>
    <t>Указывается показатель использования по производственному объекту как процент объем перекачки по отношению к пиковому дню отчетного года.</t>
  </si>
  <si>
    <t>кг у. т./Гкал</t>
  </si>
  <si>
    <t>Указывается норматив удельного расхода условного топлива при производстве тепловой энергии источниками тепловой энергии для отдельного источника тепловой энергии.</t>
  </si>
  <si>
    <t>кг усл. топл./Гкал</t>
  </si>
  <si>
    <t>Указывается фактический удельный расход условного топлива при производстве тепловой энергии источниками тепловой энергии для отдельного источника тепловой энергии.</t>
  </si>
  <si>
    <t>Территория оказания услуг</t>
  </si>
  <si>
    <t>Централизованная система</t>
  </si>
  <si>
    <t>Единица измерения</t>
  </si>
  <si>
    <t>p</t>
  </si>
  <si>
    <t>HEAT_P1</t>
  </si>
  <si>
    <t>Добавить вид топлива</t>
  </si>
  <si>
    <t>HOTVSNA_P1</t>
  </si>
  <si>
    <t>руб.</t>
  </si>
  <si>
    <t>тыс. кВт·ч</t>
  </si>
  <si>
    <t>HEAT_P6</t>
  </si>
  <si>
    <t>NOT_HOTVSNA</t>
  </si>
  <si>
    <t>отсутствует</t>
  </si>
  <si>
    <t>NOT_HEAT_P1</t>
  </si>
  <si>
    <t>Добавить прочие расходы</t>
  </si>
  <si>
    <t>HEAT_P2</t>
  </si>
  <si>
    <t>NOT_HEAT_P2</t>
  </si>
  <si>
    <t>COLDVSNA_P1</t>
  </si>
  <si>
    <t>тыс. куб. м</t>
  </si>
  <si>
    <t>HOTVSNA_P2</t>
  </si>
  <si>
    <t>тыс. Гкал</t>
  </si>
  <si>
    <t>VOTV_P1</t>
  </si>
  <si>
    <t>HEAT_P3</t>
  </si>
  <si>
    <t>Добавить источник тепловой энергии</t>
  </si>
  <si>
    <t>В случае наличия нескольких источников тепловой энергии установленная тепловая мощность по каждому из них указывается в отдельных строках.</t>
  </si>
  <si>
    <t>hyp</t>
  </si>
  <si>
    <t>тыс. Гкал/год</t>
  </si>
  <si>
    <t>человек</t>
  </si>
  <si>
    <t>HEAT_P4</t>
  </si>
  <si>
    <t>VSNA</t>
  </si>
  <si>
    <t>тыс. кВт·ч на тыс. куб. м</t>
  </si>
  <si>
    <t>COLDVSNA_P2</t>
  </si>
  <si>
    <t>Добавить производственный объект</t>
  </si>
  <si>
    <t>В случае наличия нескольких производственных объектов информация по каждому из них указывается в отдельной строке.</t>
  </si>
  <si>
    <t>HEAT_P5</t>
  </si>
  <si>
    <t>В случае наличия нескольких источников тепловой энергии норматив удельного расхода условного топлива по каждому из них указывается в отдельных строках.</t>
  </si>
  <si>
    <t>В случае наличия нескольких источников тепловой энергии фактический удельный расход условного топлива по каждому из них указывается в отдельных строках.</t>
  </si>
  <si>
    <t>тыс. кВт.ч/Гкал</t>
  </si>
  <si>
    <t>куб.м/Гкал</t>
  </si>
  <si>
    <t>Способ приобретения</t>
  </si>
  <si>
    <t>Реквизиты договора</t>
  </si>
  <si>
    <t>Наименование товара/услуги</t>
  </si>
  <si>
    <t>Объем приобретенных товаров, услуг</t>
  </si>
  <si>
    <t>Единица измерения объема</t>
  </si>
  <si>
    <t>Стоимость, тыс. руб.</t>
  </si>
  <si>
    <t>Доля расходов, % (от суммы расходов по указанной статье)</t>
  </si>
  <si>
    <t>NOTSHOW</t>
  </si>
  <si>
    <t>Информация об объемах товаров и услуг, их стоимости и способах приобретения у организаций, в том числе:</t>
  </si>
  <si>
    <t>Указывается сумма стоимости приобретения товаров и услуг у организаций, сумма оплаты услуг которых превышает 20% суммы расходов на капитальный и текущий ремонт основных производственных средства</t>
  </si>
  <si>
    <t>i</t>
  </si>
  <si>
    <t>Расходы на услуги производственного характера, выполняемые по договорам с организациями на проведение регламентных работ в рамках технологического процесса. Из них товары и услуги, приобретенные у организаций, сумма оплаты услуг которых превышает 20% суммы расходов по статье:</t>
  </si>
  <si>
    <t>Указывается сумма стоимости приобретения товаров и услуг у организаций, сумма оплаты услуг которых превышает 20% суммы расходов на услуги производственного характера</t>
  </si>
  <si>
    <t>L.HEAT.POWER.DYN</t>
  </si>
  <si>
    <t>Установленная тепловая мощность объекта основных фондов</t>
  </si>
  <si>
    <t>ЧСЛ</t>
  </si>
  <si>
    <t>НОМЕР</t>
  </si>
  <si>
    <t>Форма 9. Информация об основных технико-экономических параметрах деятельности единой теплоснабжающей организации в ценовых зонах теплоснабжения, об основных технико-экономических параметрах деятельности теплоснабжающей организации в ценовых зонах теплоснабжения и теплосетевой организации в ценовых зонах теплоснабжения</t>
  </si>
  <si>
    <t>ВЭД</t>
  </si>
  <si>
    <t>РАЙОН</t>
  </si>
  <si>
    <t>НМОБ</t>
  </si>
  <si>
    <t>НОМЕР2</t>
  </si>
  <si>
    <t>ДЕТ</t>
  </si>
  <si>
    <t>L.ACC.STATEMENTS</t>
  </si>
  <si>
    <t>Годовая бухгалтерская (финансовая) отчетность</t>
  </si>
  <si>
    <t>СТР</t>
  </si>
  <si>
    <t>Не определено</t>
  </si>
  <si>
    <t>Годовая бухгалтерская (финансовая) отчетность, включая бухгалтерский баланс и приложения к нему</t>
  </si>
  <si>
    <t>p3</t>
  </si>
  <si>
    <t>Указывается ссылка на документ, предварительно загруженный в хранилище файлов ФГИС ЕИАС.</t>
  </si>
  <si>
    <t>L.HEAT.POWER</t>
  </si>
  <si>
    <t>Установленная тепловая мощность объектов основных фондов</t>
  </si>
  <si>
    <t>Установленная тепловая мощность объектов основных фондов, используемых для теплоснабжения, в том числе по каждому источнику тепловой энергии</t>
  </si>
  <si>
    <t>Указывается суммарная установленная тепловая мощность объектов основных фондов, используемых для осуществления теплоснабжения.</t>
  </si>
  <si>
    <t>2.0</t>
  </si>
  <si>
    <t>L.HEAT.LOAD</t>
  </si>
  <si>
    <t>Тепловая нагрузка по договорам теплоснабжения</t>
  </si>
  <si>
    <t>Информация раскрывается только единой теплоснабжающей организацией в ценовых зонах теплоснабжения.</t>
  </si>
  <si>
    <t>L.VOLUME.ENERGY.PRODUCED</t>
  </si>
  <si>
    <t>Объем вырабатываемой тепловой энергии</t>
  </si>
  <si>
    <t>Объем вырабатываемой единой теплоснабжающей организацией в ценовых зонах теплоснабжения тепловой энергии, теплоснабжающей организацией в ценовых зонах теплоснабжения и передаваемой теплосетевой организацией в ценовых зонах теплоснабжения тепловой энергии</t>
  </si>
  <si>
    <t>L.VOLUME.ENERGY.PURCHASED</t>
  </si>
  <si>
    <t>Объем приобретаемой тепловой энергии</t>
  </si>
  <si>
    <t>Объем приобретаемой единой теплоснабжающей организацией в ценовых зонах теплоснабжения тепловой энергии</t>
  </si>
  <si>
    <t>L.VOLUME.ENERGY.RELEASED</t>
  </si>
  <si>
    <t>Объем тепловой энергии, отпускаемой потребителям по договорам</t>
  </si>
  <si>
    <t xml:space="preserve">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 </t>
  </si>
  <si>
    <t>Указывается общий объем тепловой энергии, отпускаемой потребителям._x000d_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</si>
  <si>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L.RELEASED.BY.PU</t>
  </si>
  <si>
    <t xml:space="preserve">Объем тепловой энергии по приборам учета </t>
  </si>
  <si>
    <t>6.1</t>
  </si>
  <si>
    <t xml:space="preserve">по приборам учета </t>
  </si>
  <si>
    <t>L.RELEASED.BY.CALC</t>
  </si>
  <si>
    <t xml:space="preserve">Объем тепловой энергии расчетным путем </t>
  </si>
  <si>
    <t>6.2</t>
  </si>
  <si>
    <t xml:space="preserve">расчетным путем </t>
  </si>
  <si>
    <t>L.RELEASED.BY.NORMATIVE</t>
  </si>
  <si>
    <t>Объем тепловой энергии по нормативам потребления</t>
  </si>
  <si>
    <t>6.3</t>
  </si>
  <si>
    <t>по нормативам потребления коммунальных услуг и нормативам потребления коммунальных ресурсов</t>
  </si>
  <si>
    <t>L.VOLUME.LOSSES.PLAN</t>
  </si>
  <si>
    <t>Плановый объем потерь при передаче тепловой энергии</t>
  </si>
  <si>
    <t xml:space="preserve">тыс. Гкал/год </t>
  </si>
  <si>
    <t>L.VOLUME.LOSSES.FACT</t>
  </si>
  <si>
    <t>Фактический объем потерь при передаче тепловой энергии</t>
  </si>
  <si>
    <t>L.UNIT.COST.PLAN</t>
  </si>
  <si>
    <t>Плановый удельный расход условного топлива при производстве тепловой энергии</t>
  </si>
  <si>
    <t xml:space="preserve">Плановый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</si>
  <si>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L.UNIT.COST.FACT</t>
  </si>
  <si>
    <t>Фактический удельный расход условного топлива при производстве тепловой энергии</t>
  </si>
  <si>
    <t xml:space="preserve">Фактический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</si>
  <si>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L.PRODUCTION.STAFF</t>
  </si>
  <si>
    <t>Среднесписочная численность основного производственного персонала</t>
  </si>
  <si>
    <t>L.ADMINISTRATIVE STAFF</t>
  </si>
  <si>
    <t>Среднесписочная численность административно-управленческого персонала</t>
  </si>
  <si>
    <t>L.UNIT.COST.EE</t>
  </si>
  <si>
    <t>Удельный расход электрической энергии</t>
  </si>
  <si>
    <t xml:space="preserve">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</si>
  <si>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L.UNIT.COST.COLD.WATER</t>
  </si>
  <si>
    <t>Удельный расход холодной воды</t>
  </si>
  <si>
    <t xml:space="preserve">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</si>
  <si>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куб. м/Гкал</t>
  </si>
  <si>
    <t>L.CONDITION.INFO</t>
  </si>
  <si>
    <t>Информация о показателях технико-экономического состояния систем теплоснабжения</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</si>
  <si>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 информация о показателях физического износа объектов теплоснабжения, информация о показателях энергетической эффективности объектов теплоснабжения</t>
  </si>
  <si>
    <t>L.STANDARDS.OTHER</t>
  </si>
  <si>
    <t>Прочие стандарты</t>
  </si>
  <si>
    <t>×</t>
  </si>
  <si>
    <t>Форма 10. Информация о стандартах качества обслуживания единой теплоснабжающей организацией в ценовых зонах теплоснабжения потре-бителей тепловой энергии и стандартах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 о выполнении соглашения об исполнении схемы теплоснабжения</t>
  </si>
  <si>
    <t xml:space="preserve">L.STANDARDS.SERVICE.QUALITY </t>
  </si>
  <si>
    <t>Стандарты качества обслуживания</t>
  </si>
  <si>
    <t>Стандарты качества обслуживания единой теплоснабжающей организацией в ценовых зонах теплоснабжения потребителей тепловой энергии</t>
  </si>
  <si>
    <t>Информация включает сведения о месте их опубликования.</t>
  </si>
  <si>
    <t>L.STANDARDS.INTERACTION</t>
  </si>
  <si>
    <t>Стандарты взаимодействия</t>
  </si>
  <si>
    <t>Стандарты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t>
  </si>
  <si>
    <t>L.STANDARDS.AGREEMENT</t>
  </si>
  <si>
    <t>Информация о выполнении соглашения</t>
  </si>
  <si>
    <t>Информация о выполнении соглашения об исполнении схемы теплоснабжения</t>
  </si>
  <si>
    <t>Информация включает сведения о достижении целевых показателей испол-нения схемы теплоснабжения единой теплоснабжающей организацией в це-новых зонах теплоснабжения и выполнении сторонами соглашения обяза-тельств, включенных в указанное соглашение в соответствии с Федеральным законом от 27 июля 2010 г. № 190-ФЗ «О теплоснабжении».</t>
  </si>
  <si>
    <t>Добавить стандарты</t>
  </si>
  <si>
    <t>Указываются прочие расходы,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</si>
  <si>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Форма 5. Информация об основных показателях финансово-хозяйственной деятельности организации в части регулируемых видов деятельности за отчётный год</t>
  </si>
  <si>
    <t>Выручка от регулируемого вида деятельности</t>
  </si>
  <si>
    <t xml:space="preserve">Указывается выручка от регулируемого вида деятельности </t>
  </si>
  <si>
    <t>Себестоимость оказываемых услуг по обращению с твёрдыми коммунальными отходами по регулируемому виду деятельности, включая:</t>
  </si>
  <si>
    <t xml:space="preserve">Указывается суммарная себестоимость </t>
  </si>
  <si>
    <t>2.1</t>
  </si>
  <si>
    <t>производственные расходы, в том числе:</t>
  </si>
  <si>
    <t>Указывается общая сумма производственных расходов.</t>
  </si>
  <si>
    <t>2.1.1</t>
  </si>
  <si>
    <t>расходы на оплату труда основного производственного персонала</t>
  </si>
  <si>
    <t>Указывается общая сумма расходов на оплату труда и страховых взносов производственного персонала.</t>
  </si>
  <si>
    <t>2.1.2</t>
  </si>
  <si>
    <t>страховые взносы на обязательное социальное страхование, выплачиваемые из фонда оплаты труда основного производственного персонала</t>
  </si>
  <si>
    <t>ремонтные расходы, включая:</t>
  </si>
  <si>
    <t>Указывается общая сумма ремонтных расходов</t>
  </si>
  <si>
    <t>2.2.1</t>
  </si>
  <si>
    <t>расходы на текущий ремонт</t>
  </si>
  <si>
    <t>2.2.2</t>
  </si>
  <si>
    <t>расходы на капитальный ремонт</t>
  </si>
  <si>
    <t>административные расходы, в том числе:</t>
  </si>
  <si>
    <t>Указывается общая сумма расходов на оплату труда и страховых взносов административно-управленческого персонала</t>
  </si>
  <si>
    <t>2.3.1</t>
  </si>
  <si>
    <t>расходы на оплату труда</t>
  </si>
  <si>
    <t>2.3.2</t>
  </si>
  <si>
    <t xml:space="preserve">страховые взносы на обязательное социальное страхование, выплачиваемые из фонда оплаты труда административно-управленческого персонала </t>
  </si>
  <si>
    <t>2.4</t>
  </si>
  <si>
    <t>расходы на амортизацию основных средств и нематериальных активов:</t>
  </si>
  <si>
    <t>Указывается общая сумма расходов на амортизацию основных средства и нематериальных активов</t>
  </si>
  <si>
    <t>2.4.1</t>
  </si>
  <si>
    <t>расходы на амортизацию основных средств</t>
  </si>
  <si>
    <t>2.4.2</t>
  </si>
  <si>
    <t>расходы на амортизацию нематериальных активов</t>
  </si>
  <si>
    <t>2.5</t>
  </si>
  <si>
    <t>расходы на арендную плату</t>
  </si>
  <si>
    <t>2.6</t>
  </si>
  <si>
    <t>расходы на лизинговые платежи</t>
  </si>
  <si>
    <t>2.7</t>
  </si>
  <si>
    <t xml:space="preserve"> расходы на концессионную плату</t>
  </si>
  <si>
    <t>2.8</t>
  </si>
  <si>
    <t>прочие расходы, которые подлежат отнесению на регулируемые виды деятельности, в том числе:</t>
  </si>
  <si>
    <t>Указывается общая сумма прочих расходов,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</si>
  <si>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В случае наличия нескольких видов прочих расходов информация указывается в отдельных строках.</t>
  </si>
  <si>
    <t>2.9</t>
  </si>
  <si>
    <t>расходы на транспортирование твёрдых коммунальных отходов</t>
  </si>
  <si>
    <t>Указывается сумма расходов на оплату выполняемых сторонними организациями услуг, связанных с осуществлением деятельности по транспортированию твёрдых коммунальных отходов в соответствии с договорами, заключенными региональным оператором с операторами, осуществляющими транспортирование твёрдых коммунальных отходов, при самостоятельном транспортировании твёрдых коммунальных отходов региональным оператором (при их наличии).</t>
  </si>
  <si>
    <t>Чистая прибыль с разбивкой по регулируемым видам деятельности, в том числе:</t>
  </si>
  <si>
    <t>Указывается общая сумма чистой прибыли, полученной от регулируемого вида деятельности.</t>
  </si>
  <si>
    <t>размер расходования чистой прибыли на финансирование мероприятий, предусмотренных инвестиционной программой</t>
  </si>
  <si>
    <t>Изменение стоимости основных фондов, в том числе:</t>
  </si>
  <si>
    <t>Указывается общее изменение стоимости основных фондов.</t>
  </si>
  <si>
    <t>4.1</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</si>
  <si>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</si>
  <si>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(вывода из эксплуатации).</t>
  </si>
  <si>
    <t>4.1.1</t>
  </si>
  <si>
    <t>изменение стоимости основных фондов за счет их ввода в эксплуатацию</t>
  </si>
  <si>
    <t>Указываются изменение стоимости основных фондов за счет их ввода в эксплуатацию.</t>
  </si>
  <si>
    <t>4.1.2</t>
  </si>
  <si>
    <t>изменение стоимости основных фондов за счет их вывода в эксплуатацию</t>
  </si>
  <si>
    <t>Указываются изменение стоимости основных фондов за счет их вывода из эксплуатации.</t>
  </si>
  <si>
    <t>4.1.3</t>
  </si>
  <si>
    <t>изменение стоимости основных фондов за счет их переоценки</t>
  </si>
  <si>
    <t>Указываются изменение стоимости основных фондов за счет их переоценки.</t>
  </si>
  <si>
    <t>-</t>
  </si>
  <si>
    <t>Указывается ссылка на документ, предварительно загруженный в хранилище файлов ФГИС ЕИАС._x000d_
Раскрывается организацией, выручка от регулируемых видов деятельности которой превышает 80 процентов совокупной выручки за отчетный год.</t>
  </si>
  <si>
    <t>Объём принятых твёрдых коммунальных отходов</t>
  </si>
  <si>
    <t>тыс. куб. м_x000d_
в год</t>
  </si>
  <si>
    <t>Указание объема принятых твёрдых коммунальных отходов необязательно при указании массы принятых твёрдых коммунальных отходов.</t>
  </si>
  <si>
    <t>Масса принятых твёрдых коммунальных отходов</t>
  </si>
  <si>
    <t>тонн в год</t>
  </si>
  <si>
    <t>Указание массы принятых твёрдых коммунальных отходов необязательно при указании объёма принятых твёрдых коммунальных отходов.</t>
  </si>
  <si>
    <t>Среднесписочная численность основного персонала</t>
  </si>
  <si>
    <t>Форма 6. Информация об основных показателях финансово-хозяйственной деятельности организации в отношении деятельности по транспортированию твердых коммунальных отходов за отчетный год</t>
  </si>
  <si>
    <t>Выручка от деятельности</t>
  </si>
  <si>
    <t>Указывается выручка от деятельности</t>
  </si>
  <si>
    <t>Себестоимость оказываемых услуг по регулируемому виду деятельности, включая:</t>
  </si>
  <si>
    <t>Указывается суммарная себестоимость</t>
  </si>
  <si>
    <t>расходы на оплату труда и страховые взносы на обязательное социальное страхование, выплачиваемые из фонда оплаты труда</t>
  </si>
  <si>
    <t>Указывается общая сумма расходов на оплату труда и страховых взносов</t>
  </si>
  <si>
    <t xml:space="preserve">расходы на оплату труда </t>
  </si>
  <si>
    <t xml:space="preserve">страховые взносы на обязательное социальное страхование, выплачиваемые из фонда оплаты труда </t>
  </si>
  <si>
    <t>расходы на топливо и горюче-смазочные материалы для транспортных средств, используемых для транспортирования твёрдых коммунальных отходов</t>
  </si>
  <si>
    <t>расходы на сырье и материалы для текущего технического обслуживания транспортных средств, используемых для транспортирования твёрдых коммунальных отходов</t>
  </si>
  <si>
    <t>ремонтные расходы и расходы на техническое обслуживание в отношении транспортных средств, используемых для транспортирования твёрдых коммунальных отходов (за исключением расходов, указанных в пункте 2.3 данной формы)</t>
  </si>
  <si>
    <t>расходы на амортизацию транспортных средств, используемых для транспортирования твёрдых коммунальных отходов</t>
  </si>
  <si>
    <t>расходы на арендную плату и лизинговые платежи в отношении транспортных средств, используемых для транспортирования твёрдых коммунальных отходов</t>
  </si>
  <si>
    <t>административные расходы (за исключением расходов, предусмотренных пунктами 2.1 и 2.8 данной формы)</t>
  </si>
  <si>
    <t>расходы, связанные с оплатой налогов, сборов и других обязательных платежей (в том числе с обязательным страхованием гражданской ответственности владельцев транспортных средств, оснащением и обеспечением функционирования аппаратуры спутниковой навигации ГЛОНАСС или ГЛОНАСС/GPS)</t>
  </si>
  <si>
    <t>прочие расходы</t>
  </si>
  <si>
    <t>Чистая прибыль в отношении деятельности по транспортированию твёрдых коммунальных отходов</t>
  </si>
  <si>
    <t>Изменение стоимости основных фондов (транспортных средств, используемых для транспортирования твёрдых коммунальных отходов), в том числе:</t>
  </si>
  <si>
    <t>Указывается общее изменение стоимости основных фондов за счет их ввода в эксплуатацию (вывода из эксплуатации), переоценки.</t>
  </si>
  <si>
    <t>Указывается изменение стоимости основных фондов за счет их ввода в эксплуатацию.</t>
  </si>
  <si>
    <t>4.2</t>
  </si>
  <si>
    <t>изменение стоимости основных фондов за счет их вывода из эксплуатации</t>
  </si>
  <si>
    <t>Указывается изменение стоимости основных фондов за счет их вывода из эксплуатации.</t>
  </si>
  <si>
    <t>4.3</t>
  </si>
  <si>
    <t>Указывается изменение стоимости основных фондов за счет их переоценки.</t>
  </si>
  <si>
    <t>Указывается ссылка на документ, предварительно загруженный в хранилище файлов ФГИС ЕИАС._x000d_
Раскрывается организацией, выручка от деятельности по транспортированию твёрдых коммунальных отходов которой превышает 80 процентов совокупной выручки за отчетный год.</t>
  </si>
  <si>
    <t>Объём принятых для транспортирования твёрдых коммунальных отходов</t>
  </si>
  <si>
    <t>Масса принятых для транспортирования твёрдых коммунальных отходов</t>
  </si>
  <si>
    <t>&lt;1&gt;</t>
  </si>
  <si>
    <t>В 2023 году операторы по обращению с твёрдыми коммунальными отходами, осуществляющие деятельность по транспортированию твёрдых коммунальных отходов, раскрывают в данной форме информацию, сформированную на дату раскрытия информации.</t>
  </si>
  <si>
    <t>В случае, если оператор по обращению с твёрдыми коммунальными отходами, осуществляющий деятельность по транспортированию твёрдых коммунальных отходов, обеспечивает транспортирование твёрдых коммунальных отходов в разных зонах деятельности регионального оператора, на разных территориях в пределах одной зоны деятельности регионального оператора, то информация раскрывается по каждой зоне деятельности регионального оператора, по каждой территории в пределах зоны деятельности регионального оператора.</t>
  </si>
  <si>
    <t>Информация, подлежащая раскрытию</t>
  </si>
  <si>
    <t>HEAT</t>
  </si>
  <si>
    <t>Количество аварий на тепловых сетях</t>
  </si>
  <si>
    <t>ед. на км</t>
  </si>
  <si>
    <t>Указывается количество любых нарушений на тепловых сетях в расчете на один километр трубопровода.</t>
  </si>
  <si>
    <t>Количество аварий на источниках тепловой энергии</t>
  </si>
  <si>
    <t>ед. на источник</t>
  </si>
  <si>
    <t>Указывается количество любых нарушений на источниках тепловой энергии</t>
  </si>
  <si>
    <t>Сведения о несоблюдении значений параметров качества теплоснабжения и (или) параметров, отражающих допустимые перерывы в теплоснабжении</t>
  </si>
  <si>
    <t>Информация в данной строке раскрывается только единой теплоснабжающей организацией в ценовых зонах теплоснабжения (обобщенная информация о количестве составленных актов, подтверждающих факт превышения разрешенных отклонений значений параметров, о средней продолжительности устранения превышения разрешенных отклонений значений параметров, о совокупной величине снижения размера платы за тепловую энергию (мощность) потребителям в связи с превышением разрешенных отклонений значений параметров)</t>
  </si>
  <si>
    <t>количество составленных актов, подтверждающих факт превышения разрешенных отклонений значений параметров</t>
  </si>
  <si>
    <t>шт.</t>
  </si>
  <si>
    <t>средняя продолжительность устранения превышения разрешенных отклонений значений параметров</t>
  </si>
  <si>
    <t>дн.</t>
  </si>
  <si>
    <t>совокупная величина снижения размера платы за тепловую энергию (мощность) потребителям в связи с превышением разрешенных отклонений значений параметров</t>
  </si>
  <si>
    <t>Показатели надежности и энергетической эффективности,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</si>
  <si>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предварительно загруженный в хранилище данных ФГИС ЕИАС._x000d_
В случае, если показатели не утверждены в колонке «Информация» указывается «Не утверждены»._x000d_
Информация в данной строке не раскрывается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t>
  </si>
  <si>
    <t>Плановые показатели надежности объектов теплоснабжения</t>
  </si>
  <si>
    <t>количество прекращений подачи тепловой энергии, теплоносителя в результате технологических нарушений на тепловых сетях на 1 км тепловых сетей</t>
  </si>
  <si>
    <t>ед.в год/км</t>
  </si>
  <si>
    <t>количество прекращений подачи тепловой энергии, теплоносителя в результате технологических нарушений на источниках тепловой энергии на 1 Гкал/час установленной мощности</t>
  </si>
  <si>
    <t xml:space="preserve"> ед.в год/Гкал/час</t>
  </si>
  <si>
    <t xml:space="preserve">Плановые показатели энергетической эффективности объектов теплоснабжения </t>
  </si>
  <si>
    <t>4.2.1</t>
  </si>
  <si>
    <t>удельный расход топлива на производство единицы тепловой энергии, отпускаемой с коллекторов источников тепловой энергии</t>
  </si>
  <si>
    <t>т.у.т./Гкал</t>
  </si>
  <si>
    <t>4.2.2</t>
  </si>
  <si>
    <t>отношение величины технологических потерь к материальной характеристике тепловой сети</t>
  </si>
  <si>
    <t>4.2.1.1</t>
  </si>
  <si>
    <t>при передаче тепловой энергии</t>
  </si>
  <si>
    <t>Гкал/кв.м</t>
  </si>
  <si>
    <t>4.2.1.2</t>
  </si>
  <si>
    <t>при передаче теплоносителя</t>
  </si>
  <si>
    <t>тонн/кв.м</t>
  </si>
  <si>
    <t>4.2.3</t>
  </si>
  <si>
    <t>величина технологических потерь</t>
  </si>
  <si>
    <t>4.2.3.1</t>
  </si>
  <si>
    <t>Гкал/год</t>
  </si>
  <si>
    <t>4.2.3.2</t>
  </si>
  <si>
    <t>при передаче теплоносителя по тепловым сетям</t>
  </si>
  <si>
    <t>тонн/год</t>
  </si>
  <si>
    <t>Доля исполненных в срок договоров о подключении (технологическом присоединении) к системе теплоснабжения</t>
  </si>
  <si>
    <t>Указывается процент от общего количества заключенных договоров о подключении (технологическом присоединении) к системе теплоснабжения._x000d_
_x000d_
Единой теплоснабжающей организацией указывается доля числа исполненных в срок договоров о подключении (технологическом присоединении) к системе теплоснабжения в зоне ее деятельности в ценовых зонах теплоснабжения (процентов общего количества заключенных договоров о подключении (технологическом присоединении) к системе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</si>
  <si>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Средняя продолжительность рассмотрения заявок на заключение договоров о подключении (технологическом присоединении) к системе теплоснабжения</t>
  </si>
  <si>
    <t>Единой теплоснабжающей организацией информация раскрывается в зоне ее деятельности в ценовых зонах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</si>
  <si>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 xml:space="preserve">Едиными теплоснабжающими организациями, теплоснабжающими и теплосетевыми организациями в ценовых зонах теплоснабжения указывается информация об основных потребительских </t>
  </si>
  <si>
    <t>характеристиках товаров и услуг, поставляемых и оказываемых этими организациями в ценовых зонах теплоснабжения.</t>
  </si>
  <si>
    <t>COLDVSNA</t>
  </si>
  <si>
    <t>Количество аварий на системах холодного водоснабжения</t>
  </si>
  <si>
    <t>Указывается количество любых нарушений функционирования системы холодного водоснабжения в расчете на один километр трубопровода.</t>
  </si>
  <si>
    <t>Количество случаев временного ограничения холодного водоснабжения по графику</t>
  </si>
  <si>
    <t>количество случаев ограничения холодного водоснабжения по графику для ограничений сроком менее 24 часов в сутки</t>
  </si>
  <si>
    <t>ед.</t>
  </si>
  <si>
    <t>Указывается суммарное количество ограничения холодного водоснабжения по графику в течение отчетного периода. В расчет принимаются ограничения сроком менее 24 часов каждое.</t>
  </si>
  <si>
    <t>срок действия ограничений холодного водоснабжения по графику для ограничений сроком менее 24 часов в сутки</t>
  </si>
  <si>
    <t>ч</t>
  </si>
  <si>
    <t>Указывается сумма времени ограничения холодного водоснабжения по графику в течение отчетного периода. В расчет принимаются ограничения сроком менее 24 часов каждое.</t>
  </si>
  <si>
    <t>Доля потребителей, в отношении которых ограничено холодное водоснабжение:</t>
  </si>
  <si>
    <t>доля потребителей, в отношении которых ограничено холодное водоснабжение сроком менее 24 часов в сутки</t>
  </si>
  <si>
    <t>Указывается отношение количества потребителей, затронутых как минимум одним ограничением подачи холодной воды по графику длительностью менее 24 часа в течение отчетного периода, и суммарного количества обслуживаемых потребителей.</t>
  </si>
  <si>
    <t>доля потребителей, в отношении которых ограничено холодное водоснабжение сроком 24 часа в сутки и более</t>
  </si>
  <si>
    <t>Указывается отношение количества потребителей, затронутых как минимум одним ограничением подачи холодной воды по графику длительностью 24 часа и более в течение отчетного периода, и суммарного количества обслуживаемых потребителей.</t>
  </si>
  <si>
    <t>Общее количество отобранных проб питьевой воды по следующим показателям</t>
  </si>
  <si>
    <t>мутность</t>
  </si>
  <si>
    <t>цветность</t>
  </si>
  <si>
    <t>хлор остаточный общий, в том числе:</t>
  </si>
  <si>
    <t>4.3.1</t>
  </si>
  <si>
    <t>хлор остаточный связанный</t>
  </si>
  <si>
    <t>4.3.2</t>
  </si>
  <si>
    <t>хлор остаточный свободный</t>
  </si>
  <si>
    <t>4.4</t>
  </si>
  <si>
    <t>общие колиформные бактерии</t>
  </si>
  <si>
    <t>4.5</t>
  </si>
  <si>
    <t>термотолерантные колиформные бактерии</t>
  </si>
  <si>
    <t>Количество отобранных проб питьевой воды, показатели которых не соответствуют нормативам качества питьевой воды в соответствии с санитарно-эпидемиологическими требованиями к питьевой воде (предельно допустимой концентрации в воде) по следующим показателям:</t>
  </si>
  <si>
    <t>5.2</t>
  </si>
  <si>
    <t>5.3</t>
  </si>
  <si>
    <t>5.3.1</t>
  </si>
  <si>
    <t>5.3.2</t>
  </si>
  <si>
    <t>5.4</t>
  </si>
  <si>
    <t>5.5</t>
  </si>
  <si>
    <t>Доля исполненных в срок договоров о подключении (технологическом присоединении) к централизованной системе холодного водоснабжения</t>
  </si>
  <si>
    <t>Указывается процент общего количества заключенных договоров о подключении (технологическом присоединении) к централизованной системе холодного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</si>
  <si>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холодного водоснабжения</t>
  </si>
  <si>
    <t>О результатах технического обследования централизованных систем холодного водоснабжения, в том числе:</t>
  </si>
  <si>
    <t>8.1</t>
  </si>
  <si>
    <t>о фактических значениях показателей технико-экономического состояния централизованных систем холодного водоснабжения, включая значения показателей физического износа и энергетической эффективности объектов централизованных систем холодного водоснабжения.</t>
  </si>
  <si>
    <t>HOTVSNA</t>
  </si>
  <si>
    <t>Количество аварий на системах горячего водоснабжения</t>
  </si>
  <si>
    <t>Указывается количество нарушений функционирования системы горячего водоснабжения в расчете на один километр трубопровода.</t>
  </si>
  <si>
    <t>Количество часов (суммарно за календарный год), превышающих установленную продолжительность временного прекращения или ограничения горячего водоснабжения, и доля потребителей (процентов), в отношении которых было осуществлено временное прекращение или ограничение горячего водоснабжения</t>
  </si>
  <si>
    <t>количество часов (суммарно за календарный год), превышающих установленную продолжительность временного прекращения горячего водоснабжения</t>
  </si>
  <si>
    <t>количество часов (суммарно за календарный год), превышающих установленную продолжительность ограничения горячего водоснабжения</t>
  </si>
  <si>
    <t>доля потребителей, в отношении которых было осуществлено временное прекращение горячего водоснабжения</t>
  </si>
  <si>
    <t>доля потребителей, в отношении которых было осуществлено ограничение горячего водоснабжения</t>
  </si>
  <si>
    <t>Количество часов (суммарно за календарный год) отклонения показателей температуры подачи горячей воды от нормативных значений в точке разбора</t>
  </si>
  <si>
    <t>Доля исполненных в срок договоров о подключении (технологическом присоединении) к централизованной системе горячего водоснабжения (процентов общего количества заключенных договоров о подключении (технологическом присоединении) к централизованной системе горячего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</si>
  <si>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горячего водоснабжения</t>
  </si>
  <si>
    <t>О результатах технического обследования централизованных систем горячего водоснабжения, в том числе:</t>
  </si>
  <si>
    <t>о фактических значениях показателей технико-экономического состояния централизованных систем горячего водоснабжения, включая значения показателей физического износа и энергетической эффективности объектов централизованных систем горячего водоснабжения</t>
  </si>
  <si>
    <t>VOTV</t>
  </si>
  <si>
    <t>Показатели аварийности на канализационных сетях</t>
  </si>
  <si>
    <t>Указывается количество любых нарушений на канализационных сетях.</t>
  </si>
  <si>
    <t>Количество засоров на самотечных сетях</t>
  </si>
  <si>
    <t>Указывается количество засоров на самотечных сетях.</t>
  </si>
  <si>
    <t>Общее количество отобранных проб на сбросе очищенных (частично очищенных) сточных вод:</t>
  </si>
  <si>
    <t>Указывается суммарное количество проведенных проб на сбросе очищенных вод.</t>
  </si>
  <si>
    <t>взвешенные вещества</t>
  </si>
  <si>
    <t>БПК5</t>
  </si>
  <si>
    <t>аммоний-ион</t>
  </si>
  <si>
    <t>нитрит-анион</t>
  </si>
  <si>
    <t>3.5</t>
  </si>
  <si>
    <t>фосфаты (по Р)</t>
  </si>
  <si>
    <t>3.6</t>
  </si>
  <si>
    <t>нефтепродукты</t>
  </si>
  <si>
    <t>3.7</t>
  </si>
  <si>
    <t>микробиология</t>
  </si>
  <si>
    <t>Количество отобранных проб, показатели которых не соответствуют установленным нормативам состава сточных вод (предельно допустимой концентрации веществ и микроорганизмов) на сбросе очищенных (частично очищенных) сточных вод:</t>
  </si>
  <si>
    <t>Указывается суммарное количество отобранных проб, выявивших несоответствие очищенных сточных вод санитарным нормам (предельно допустимой концентрации) на сбросе очищенных (частично очищенных) сточных вод.</t>
  </si>
  <si>
    <t>4.6</t>
  </si>
  <si>
    <t>4.7</t>
  </si>
  <si>
    <t>Доля исполненных в срок договоров о подключении (технологическом присоединении) к централизованной системе водоотведения</t>
  </si>
  <si>
    <t>Указывается процент от общего количества заключенных договоров о подключении (технологическом присоединении) к централизованной системе водоотведения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</si>
  <si>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водоотведения</t>
  </si>
  <si>
    <t>О результатах технического обследования централизованных систем водоотведения, в том числе:</t>
  </si>
  <si>
    <t>7.1</t>
  </si>
  <si>
    <t>о фактических значениях показателей технико-экономического состояния централизованных систем водоотведения, включая значения показателей физического износа и энергетической эффективности объектов централизованных систем водоотведения</t>
  </si>
  <si>
    <t>О  нормативах допустимых сбросов загрязняющих веществ в составе сточных вод в водные объекты,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 (о лимитах на сбросы загрязняющих веществ,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t>
  </si>
  <si>
    <t>О показателях эффективности удаления загрязняющих веществ очистными сооружениями регулируемых организаций</t>
  </si>
  <si>
    <t>Наименование выведенного источника тепловой энергии</t>
  </si>
  <si>
    <t>В случае вывода из эксплуатации нескольких источников тепловой энергии информация по каждому из них указывается в отдельно.</t>
  </si>
  <si>
    <t>Дата вывода</t>
  </si>
  <si>
    <t>Дата вывода указывается в виде «ДД.ММ.ГГГГ».</t>
  </si>
  <si>
    <t>Наименование тепловой сети</t>
  </si>
  <si>
    <t>В случае вывода из эксплуатации нескольких тепловых сетей информация по каждой из них указывается в отдельно.</t>
  </si>
  <si>
    <t>Описание ограничения подачи тепловой энергии потребителям</t>
  </si>
  <si>
    <t>Дата начала ограничения</t>
  </si>
  <si>
    <t>Дата начала ограничения указывается в виде «ДД.ММ.ГГГГ».</t>
  </si>
  <si>
    <t>Дата завершения ограничения</t>
  </si>
  <si>
    <t>Дата завершения ограничения указывается в виде «ДД.ММ.ГГГГ».</t>
  </si>
  <si>
    <t>Описание прекращения режима потребления</t>
  </si>
  <si>
    <t>В колонке «Ссылка на документ» указывается материал в виде ссылки на документ, обосновывающий прекращение подачи тепловой энергии потребителям, предварительно загруженный в хранилище данных ФГИС ЕИАС.</t>
  </si>
  <si>
    <t>Дата прекращения</t>
  </si>
  <si>
    <t>Дата прекращения указывается в виде «ДД.ММ.ГГГГ».</t>
  </si>
  <si>
    <t>1.0</t>
  </si>
  <si>
    <t>Сведения о выводе источников тепловой энергии из эксплуатации</t>
  </si>
  <si>
    <t>Сведения о выводе тепловых сетей из эксплуатации</t>
  </si>
  <si>
    <t>Добавить тепловую сеть</t>
  </si>
  <si>
    <t>3.0</t>
  </si>
  <si>
    <t>Сведения об основаниях ограничения подачи тепловой энергии</t>
  </si>
  <si>
    <t>Осуществлялось</t>
  </si>
  <si>
    <t>В случае, если ограничения подачи тепловой энергии тепловой энергии не происходили, в колонке «Информация» указывается «Не осуществлялось»._x000d_
Указывается информация о случаях ограничения подачи тепловой энергии потребителям в случаях, предусмотренных законодательством в сфере теплоснабжения._x000d_
В неоднократных ограничений подачи потребления тепловой энергии потребителями информация по каждому случаю указывается отдельно.</t>
  </si>
  <si>
    <t>Добавить ограничение подачи ТЭ</t>
  </si>
  <si>
    <t>4.0</t>
  </si>
  <si>
    <t>Сведения об основаниях прекращения подачи тепловой энергии потребителям</t>
  </si>
  <si>
    <t>В случае, если прекращения подачи тепловой энергии потребителям не происходили, в колонке «Информация» указывается «Не осуществлялось»._x000d_
Указывается информация о случаях прекращения подачи тепловой энергии потребителям, предусмотренных законодательством в сфере теплоснабжения._x000d_
В случае нескольких прекращений подачи тепловой энергии потребителям информация по каждому случаю указывается отдельно.</t>
  </si>
  <si>
    <t>Добавить прекращение подачи ТЭ</t>
  </si>
  <si>
    <t>Наименование ИП</t>
  </si>
  <si>
    <t>Инвестиционная программа разбивается по мероприятиям и (или) группам мероприятий</t>
  </si>
  <si>
    <t>Дата утверждения инвестиционной программы</t>
  </si>
  <si>
    <t>Дата изменения инвестиционной программы</t>
  </si>
  <si>
    <t>Цель инвестиционной программы</t>
  </si>
  <si>
    <t>Наименование исполнительного органа субъекта Российской Федерации (органа местного самоуправления), утвердившего инвестиционную программу</t>
  </si>
  <si>
    <t>Наименование органа местного самоуправления, согласовавшего инвестиционную программу</t>
  </si>
  <si>
    <t>Период реализации инвестиционной программы</t>
  </si>
  <si>
    <t>Решение уполномоченного органа об утверждении инвестиционной программы</t>
  </si>
  <si>
    <t>Решение уполномоченного органа о внесении изменений, корректировке инвестиционной программы</t>
  </si>
  <si>
    <t>О наличии в инвестиционной программе мероприятий, включенных в концессионное(-ые) соглашение(-я)</t>
  </si>
  <si>
    <t>Дата начала</t>
  </si>
  <si>
    <t>Дата окончания</t>
  </si>
  <si>
    <t>Период реализации</t>
  </si>
  <si>
    <t>Вид</t>
  </si>
  <si>
    <t>Номер</t>
  </si>
  <si>
    <t>Дата принятия</t>
  </si>
  <si>
    <t>Тип</t>
  </si>
  <si>
    <t>Наличие</t>
  </si>
  <si>
    <t>Реквизиты концессионного(-ых) соглашения(-ий)</t>
  </si>
  <si>
    <t>ip_1</t>
  </si>
  <si>
    <t>Добавить инвестиционную программу</t>
  </si>
  <si>
    <t>Год реализации инвестиционной программы</t>
  </si>
  <si>
    <t>№ п/п_x000d_
мероприятия</t>
  </si>
  <si>
    <t>Группа, к которой относятся мероприятия инвестиционной программы</t>
  </si>
  <si>
    <t>Мероприятие</t>
  </si>
  <si>
    <t>№ источника</t>
  </si>
  <si>
    <t>О плановых и фактических размерах и источниках финансирования предусмотренных в утвержденной инвестиционной программе с распределением по годам</t>
  </si>
  <si>
    <t>Плановый срок реализации мероприятия и (или) группы мероприятий с распределением по годам</t>
  </si>
  <si>
    <t>Плановый срок ввода в эксплуатацию/выполнения мероприятия и (или) группы мероприятий</t>
  </si>
  <si>
    <t>Фактический срок реализации мероприятия и (или) группы мероприятий с распределением по годам</t>
  </si>
  <si>
    <t>Фактический срок ввода в эксплуатацию/выполнения мероприятия и (или) группы мероприятий</t>
  </si>
  <si>
    <t>Наименование мероприятия</t>
  </si>
  <si>
    <t>Входит в концессионное соглашение</t>
  </si>
  <si>
    <t>Объект инфраструктуры</t>
  </si>
  <si>
    <t>Признак</t>
  </si>
  <si>
    <t>Номер концессионного соглашения</t>
  </si>
  <si>
    <t>№ объекта</t>
  </si>
  <si>
    <t>Наименование объекта</t>
  </si>
  <si>
    <t>Тип объекта</t>
  </si>
  <si>
    <t>Адрес объекта</t>
  </si>
  <si>
    <t>План</t>
  </si>
  <si>
    <t>Факт</t>
  </si>
  <si>
    <t>в том числе</t>
  </si>
  <si>
    <t>Населенный пункт</t>
  </si>
  <si>
    <t>улица, проезд, проспект, переулок, и т.п.</t>
  </si>
  <si>
    <t>дом, корпус, строение</t>
  </si>
  <si>
    <t>Источник финансирования</t>
  </si>
  <si>
    <t>Размер финансирования</t>
  </si>
  <si>
    <t>месяц</t>
  </si>
  <si>
    <t>год</t>
  </si>
  <si>
    <r>
      <rPr>
        <vertAlign val="superscript"/>
        <sz val="9"/>
        <rFont val="Tahoma"/>
        <family val="2"/>
        <charset val="204"/>
      </rPr>
      <t>1</t>
    </r>
    <r>
      <rPr>
        <sz val="9"/>
        <rFont val="Tahoma"/>
        <family val="2"/>
        <charset val="204"/>
      </rPr>
      <t xml:space="preserve"> В соответствии с утвержденной инвестиционной программой</t>
    </r>
  </si>
  <si>
    <t>Источники финансирования</t>
  </si>
  <si>
    <t>Объем фактического выполнения за счет источников финансирования (тыс. руб. без НДС)</t>
  </si>
  <si>
    <t>Всего</t>
  </si>
  <si>
    <t>I</t>
  </si>
  <si>
    <t>Расходы на мероприятия инвестиционной программы</t>
  </si>
  <si>
    <t>Собственные средства</t>
  </si>
  <si>
    <t>1.1</t>
  </si>
  <si>
    <t>Амортизационные отчисления за исключением переоценки основных средств и нематериальных активов</t>
  </si>
  <si>
    <t>1.2</t>
  </si>
  <si>
    <t>Амортизационные отчисления в результате переоценки основных средств и нематериальных активов</t>
  </si>
  <si>
    <t>1.3</t>
  </si>
  <si>
    <t>Капитальные вложения (инвестиции), финансируемые за счет нормативной прибыли, учитываемой в необходимой валовой выручке</t>
  </si>
  <si>
    <t>1.4</t>
  </si>
  <si>
    <t>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</si>
  <si>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1.5</t>
  </si>
  <si>
    <t>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</si>
  <si>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1.6</t>
  </si>
  <si>
    <t>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</si>
  <si>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1.7</t>
  </si>
  <si>
    <t>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</si>
  <si>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1.8</t>
  </si>
  <si>
    <t>Экономия средств, достигнутая регулируемой организацией в результате снижения расходов</t>
  </si>
  <si>
    <t>1.9</t>
  </si>
  <si>
    <t>Средства, полученные за счет платы за подключение (технологическое присоединение)</t>
  </si>
  <si>
    <t>1.10</t>
  </si>
  <si>
    <t>Средства, полученные регулируемой организацией в виде платы за сброс загрязняющих веществ сверх установленных нормативов состава сточных вод</t>
  </si>
  <si>
    <t>1.11</t>
  </si>
  <si>
    <t>Средства, полученные регулируемой организацией в виде платы за негативное воздействие на работу централизованной системы водоотведения</t>
  </si>
  <si>
    <t>1.12</t>
  </si>
  <si>
    <t>Прочие собственные средства</t>
  </si>
  <si>
    <t>Привлеченные средства</t>
  </si>
  <si>
    <t>Займы</t>
  </si>
  <si>
    <t>Кредиты</t>
  </si>
  <si>
    <t>Прочие привлеченные средства</t>
  </si>
  <si>
    <t>Бюджетное финансирование</t>
  </si>
  <si>
    <t>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</si>
  <si>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Иные бюджетные средства.</t>
  </si>
  <si>
    <t>Прочие источники финансирования</t>
  </si>
  <si>
    <t>ИТОГО по программе</t>
  </si>
  <si>
    <t>II</t>
  </si>
  <si>
    <t>Средства на возврат займов и кредитов, привлекаемых на реализацию мероприятий инвестиционной программы, а также на проценты по таким займам и кредитам*</t>
  </si>
  <si>
    <t>Cредства на возврат займов и кредитов, привлекаемых на реализацию мероприятий инвестиционной программ</t>
  </si>
  <si>
    <t>1.1.1</t>
  </si>
  <si>
    <t>Финансируемые за счет нормативной прибыли, учитываемой в необходимой валовой выручке</t>
  </si>
  <si>
    <t>1.1.2</t>
  </si>
  <si>
    <t>Амортизационные отчисления</t>
  </si>
  <si>
    <t>1.1.3</t>
  </si>
  <si>
    <t>Иные собственные средства</t>
  </si>
  <si>
    <t>1.1.4</t>
  </si>
  <si>
    <t>Средства, полученные регулируемой организацией в виде платы за негативное воздействие абонентов на работу централизованной системы водоотведения</t>
  </si>
  <si>
    <t>1.2.1</t>
  </si>
  <si>
    <t>1.2.2</t>
  </si>
  <si>
    <t xml:space="preserve">Прочие источники </t>
  </si>
  <si>
    <t>Cредства на проценты по займам и кредитам, привлекаемым на реализацию мероприятий инвестиционной программ</t>
  </si>
  <si>
    <t>2.1.3</t>
  </si>
  <si>
    <t>2.1.4</t>
  </si>
  <si>
    <t>WARM FEATURES</t>
  </si>
  <si>
    <t>OTKO FEATURES</t>
  </si>
  <si>
    <t>Цель(-и) ИП</t>
  </si>
  <si>
    <t>Способ утверждения показателей</t>
  </si>
  <si>
    <t>Описание способа утверждения показателей</t>
  </si>
  <si>
    <t>Показатели качества, надежности и бесперебойности, энергетической эффективности</t>
  </si>
  <si>
    <t>Показатели надежности</t>
  </si>
  <si>
    <t xml:space="preserve">Показатели энергетической эффективности </t>
  </si>
  <si>
    <t>Показатели качества питьевой воды</t>
  </si>
  <si>
    <t>Показатели качества горячей воды</t>
  </si>
  <si>
    <t>Показатели надежности и бесперебойности</t>
  </si>
  <si>
    <t>Показатели энергетической эффективности</t>
  </si>
  <si>
    <t>Показатели очистки сточных вод</t>
  </si>
  <si>
    <t>Показатель надежности и бесперебойности</t>
  </si>
  <si>
    <t>Количество прекращений подачи тепловой энергии, теплоносителя в результате технологических нарушений</t>
  </si>
  <si>
    <t>удельный расход топлива на производство единицы тепловой энергии</t>
  </si>
  <si>
    <t>Отношение величины технологических потерь к материальной характеристике тепловой сети</t>
  </si>
  <si>
    <t>Величина технологических потерь</t>
  </si>
  <si>
    <t>Доля проб питьевой воды, подаваемой с источников водоснабжения, водопроводных станций или иных объектов централизованной системы водоснабжения в распределительную водопроводную сеть,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</si>
  <si>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питьевой воды в распределительной водопроводной сети,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</si>
  <si>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горячей воды в тепловой сети или в сети горячего водоснабжения, не соответствующих установленным требованиям по температуре, в общем объёме проб, отобранных по результатам производственного контроля качества горячей воды</t>
  </si>
  <si>
    <t>Доля проб горячей воды в тепловой сети или в сети горячего водоснабжения, не соответствующих установленным требованиям (за исключением температуры), в общем объёме проб, отобранных по результатам производственного контроля качества горячей воды</t>
  </si>
  <si>
    <t xml:space="preserve"> Количество перерывов в подаче воды, зафиксированных в местах исполнения обязательств организацией, осуществляющей горячее водоснабжение, холодное водоснабжение, по подаче горячей воды, холодной воды, возникших в результате аварий, повреждений и иных технологических нарушений на объектах централизованной системы холодного водоснабжения, горячего водоснабжения, принадлежащих организации, осуществляющей горячее водоснабжение, холодное водоснабжение, в расчете на протяженность водопроводной сети</t>
  </si>
  <si>
    <t>Доля потерь воды в централизованных системах водоснабжения при транспортировке в общем объёме воды, поданной в водопроводную сеть</t>
  </si>
  <si>
    <t>Удельное количество тепловой энергии, расходуемое на подогрев горячей воды</t>
  </si>
  <si>
    <t>Удельный расход электрической энергии, потребляемой в технологическом процессе</t>
  </si>
  <si>
    <t>доля сточных вод, не подвергающихся очистке, в общем объёме сточных вод, сбрасываемых в централизованные общесплавные или бытовые системы водоотведения</t>
  </si>
  <si>
    <t xml:space="preserve"> доля поверхностных сточных вод, не подвергающихся очистке, в общем объёме поверхностных сточных вод, принимаемых в централизованную ливневую систему водоотведения</t>
  </si>
  <si>
    <t>доля проб сточных вод, не соответствующих установленным нормативам допустимых сбросов, лимитам на сбросы, рассчитанная применительно к видам централизованных систем водоотведения раздельно для централизованной общесплавной (бытовой) и централизованной ливневой систем водоотведения</t>
  </si>
  <si>
    <t>Удельное количество аварий и засоров в расчете на протяженность канализационной сети</t>
  </si>
  <si>
    <t>Удельный расход электрической энергии, потребляемой в технологическом процессе для:</t>
  </si>
  <si>
    <t>на тепловых сетях на 1 км тепловых сетей</t>
  </si>
  <si>
    <t>на источниках тепловой энергии на 1 Гкал/час установленной мощности</t>
  </si>
  <si>
    <t xml:space="preserve">подготовки питьевой воды, на единицу объёма воды, отпускаемой в сеть_x000d_
</t>
  </si>
  <si>
    <t xml:space="preserve">транспортировки питьевой воды, на единицу объёма транспортируемой воды_x000d_
</t>
  </si>
  <si>
    <t>очистки сточных вод, на единицу объёма очищаемых сточных вод</t>
  </si>
  <si>
    <t>транспортировки сточных вод, на единицу объёма транспортируемых сточных вод</t>
  </si>
  <si>
    <t>ед. в год/км</t>
  </si>
  <si>
    <t>Гкал/куб. м</t>
  </si>
  <si>
    <t>кВт*ч/куб. м</t>
  </si>
  <si>
    <t>кВт*ч/куб.м</t>
  </si>
  <si>
    <t>план</t>
  </si>
  <si>
    <t>факт</t>
  </si>
  <si>
    <t>ед</t>
  </si>
  <si>
    <t>Не полный комплект документов</t>
  </si>
  <si>
    <t>5.0</t>
  </si>
  <si>
    <t>Добавить систему</t>
  </si>
  <si>
    <t>Добавить описание формы публичного договора</t>
  </si>
  <si>
    <t>Добавить описание договора</t>
  </si>
  <si>
    <t>сведения о договорах, заключенных в соответствии с частями 2.1 и 2.2 статьи 8 Федерального закона "О теплоснабжении"</t>
  </si>
  <si>
    <t>Статья 8 ФЗ 190-ФЗ_x000d_
2.1. Соглашением сторон договора теплоснабжения и (или) договора поставки тепловой энергии (мощности) и (или) теплоносителя, но не выше цен (тарифов) на соответствующие товары в сфере теплоснабжения, установленных органом регулирования в соответствии с основами ценообразования в сфере теплоснабжения и правилами регулирования цен (тарифов) в сфере теплоснабжения, утвержденными Правительством Российской Федерации, определяются следующие виды цен на товары в сфере теплоснабжения, за исключением тепловой энергии (мощности) и (или) теплоносителя, реализация которых необходима для оказания коммунальных услуг по отоплению и горячему водоснабжению населению и приравненным к нему категориям потребителей:_x000d_
1) цены на тепловую энергию (мощность), производимую и (или) поставляемую с использованием теплоносителя в виде пара теплоснабжающими организациями потребителям, другим теплоснабжающим организациям;_x000d_
2) цены на теплоноситель в виде пара, поставляемый теплоснабжающими организациями потребителям, другим теплоснабжающим организациям;_x000d_
3) цены на тепловую энергию (мощность), теплоноситель, поставляемые теплоснабжающей организацией, владеющей на праве собственности или ином законном основании источником тепловой энергии, потребителю, теплопотребляющие установки которого технологически соединены с этим источником тепловой энергии непосредственно или через тепловую сеть, принадлежащую на праве собственности и (или) ином законном основании указанной теплоснабжающей организации или указанному потребителю, если такие теплопотребляющие установки и такая тепловая сеть не имеют иного технологического соединения с системой теплоснабжения и к тепловым сетям указанного потребителя не присоединены теплопотребляющие установки иных потребителей._x000d_
(часть 2.1 введена Федеральным законом от 01.12.2014 № 404-ФЗ)_x000d_
2.2. С 1 января 2018 года цены, указанные в части 2.1 настоящей статьи, не подлежат регулированию и определяются соглашением сторон договора теплоснабжения и (или) договора поставки тепловой энергии (мощности) и (или) теплоносителя, за исключением случаев:_x000d_
1) реализации тепловой энергии (мощности) и (или) теплоносителя, необходимых для оказания коммунальных услуг по отоплению и горячему водоснабжению населению и приравненным к нему категориям потребителей;_x000d_
2) производства тепловой энергии (мощности), теплоносителя с использованием источника тепловой энергии, установленная мощность которого составляет менее десяти гигакалорий в час, и (или) осуществления поставки теплоснабжающей организацией потребителю тепловой энергии в объеме менее пятидесяти тысяч гигакалорий за 2017 год.</t>
  </si>
  <si>
    <t>Прочие договора</t>
  </si>
  <si>
    <t>Сведения об условиях договоров на оказание услуг по транспортированию твердых коммунальных отходов</t>
  </si>
  <si>
    <t xml:space="preserve"> Форма договора на оказание услуг</t>
  </si>
  <si>
    <t>Указывается форма договора, используемая организацией, в виде ссылки на документ, предварительно загруженный в хранилище файлов ФГИС ЕИАС, либо ссылка на официальный сайт в сети "Интернет", на котором размещена информация._x000d_
В случае наличия нескольких форм таких договоров информация по каждой из них указывается в отдельной строке.</t>
  </si>
  <si>
    <t>Добавить описание формы договора</t>
  </si>
  <si>
    <t>наименование НПА</t>
  </si>
  <si>
    <t>контактный телефон службы</t>
  </si>
  <si>
    <t>адрес службы</t>
  </si>
  <si>
    <t>график работы службы</t>
  </si>
  <si>
    <t>c 01:03 до 18:55</t>
  </si>
  <si>
    <t>Информация о размещении данных на сайте регулируемой организации</t>
  </si>
  <si>
    <t>дата размещения информации</t>
  </si>
  <si>
    <t>Дата размещения информации указывается в виде «ДД.ММ.ГГГГ».</t>
  </si>
  <si>
    <t>адрес страницы сайта в сети «Интернет» и ссылка на документ</t>
  </si>
  <si>
    <t>В колонке «Информация» указывается адрес страницы сайта в сети «Интернет», на которой размещена информация._x000d_
В колонке «Ссылка на документ» указывается ссылка на скриншот страницы сайта в сети «Интернет», предварительно загруженный в хранилище файлов ФГИС ЕИАС, на которой размещена информация.</t>
  </si>
  <si>
    <t xml:space="preserve">Указывается ссылка на документ, предварительно загруженный в хранилище файлов ФГИС ЕИАС._x000d_
В случае наличия дополнительных сведений информация по ним указывается в отдельных строках._x000d_
</t>
  </si>
  <si>
    <t>В колонке «Информация» указывается полное наименование и реквизиты НПА._x000d_
В случае наличия нескольких НПА каждое из них указывается в отдельной строке.</t>
  </si>
  <si>
    <t>5.1.1</t>
  </si>
  <si>
    <t>Указывается номер контактного телефона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номеров телефонов, информация по каждому из них указывается в отдельной строке.</t>
  </si>
  <si>
    <t>5.2.1</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</si>
  <si>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 Данные указываются согласно наименованиям адресных объектов в ФИАС._x000d_
В случае наличия нескольких служб и (или) адресов, информация по каждому из них указывается в отдельной строке.</t>
  </si>
  <si>
    <t>Указывается график работы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графиков работы, информация по каждому из них указывается в отдельной строке.</t>
  </si>
  <si>
    <t>p1</t>
  </si>
  <si>
    <t>Добавить период</t>
  </si>
  <si>
    <t>p2</t>
  </si>
  <si>
    <t>Период действия тарифов</t>
  </si>
  <si>
    <t>с</t>
  </si>
  <si>
    <t>по</t>
  </si>
  <si>
    <t>p1_0</t>
  </si>
  <si>
    <t>Долгосрочные параметры регулирования указываются в случае выбора любого метода регулирования за исключением метода экономически обоснованных затрат в виде ссылки на документ, предварительно загруженный в хранилище файлов ФГИС ЕИАС.</t>
  </si>
  <si>
    <t>Необходимая валовая выручка на соответствующий период, в том числе с разбивкой по годам</t>
  </si>
  <si>
    <t>p2_0</t>
  </si>
  <si>
    <t>В колонке «Информация» указывается описательная информация, характеризующая размещаемые данные._x000d_
В колонке «Ссылка на документ» указывается либо ссылка на документ, предварительно загруженный в хранилище файлов ФГИС ЕИАС, либо ссылка на официальный сайт в сети «Интернет», на котором размещена информация.</t>
  </si>
  <si>
    <t>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t>
  </si>
  <si>
    <t>Показатели надежности и качества,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</si>
  <si>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надежности и качества, предварительно загруженный в хранилище данных ФГИС ЕИАС._x000d_
В случае, если показатели надежности и качества не утверждены в колонке «Информация» указывается «Не утверждены»._x000d_
Информация в данной строке не указывается теплоснабжающими организациями, теплосетевыми организациями в ценовых зонах теплоснабжения.</t>
  </si>
  <si>
    <t>Информация в строках 3.1 – 3.3 указывается в случае, если организация имеет статус единой теплоснабжающей организации в ценовых зонах теплоснабжения.</t>
  </si>
  <si>
    <t>Доля числа исполненных в срок договоров о подключении</t>
  </si>
  <si>
    <t>Указывается процент общего количества заключенных договоров о подключении (технологическом присоединении)._x000d_
Информация в данной строке не указывается теплоснабжающими организациями, теплосетевыми организациями в ценовых зонах теплоснабжения.</t>
  </si>
  <si>
    <t>Средняя продолжительность рассмотрения заявлений о подключении</t>
  </si>
  <si>
    <t>Гкал/час</t>
  </si>
  <si>
    <t>Информация в данной строке не указывается теплоснабжающими организациями, теплосетевыми организациями в ценовых зонах теплоснабжения.</t>
  </si>
  <si>
    <t>REGION</t>
  </si>
  <si>
    <t>year_list1</t>
  </si>
  <si>
    <t>year_list</t>
  </si>
  <si>
    <t>logical</t>
  </si>
  <si>
    <t>Месяц_x000d_
(MONTH)</t>
  </si>
  <si>
    <t>Квартал_x000d_
(QUARTER)</t>
  </si>
  <si>
    <t>Месяц_x000d_
(kind_of_publication)</t>
  </si>
  <si>
    <t>НДС_x000d_
/kind_of_NDS/</t>
  </si>
  <si>
    <t>Номер СЦХВ(СЦВО)_x000d_
/SKI_number/</t>
  </si>
  <si>
    <t>Единица измерения объема оказываемых услуг ГВС_x000d_
/kind_of_unit_GVS/</t>
  </si>
  <si>
    <t>Метод регулирования_x000d_
/kind_of_control_method/</t>
  </si>
  <si>
    <t>Сколько раз встретилось</t>
  </si>
  <si>
    <t>Вид деятельности, на которую установлен тариф /kind_of_activity_WARM/</t>
  </si>
  <si>
    <t>Вид теплоносителя_x000d_
(kind_of_heat_transfer)</t>
  </si>
  <si>
    <t>Тип данных_x000d_
(kind_of_data_type)</t>
  </si>
  <si>
    <t>Схема подключения_x000d_
(kind_of_scheme_in)_x000d_
(kind_of_scheme_in2)</t>
  </si>
  <si>
    <t>Группы потребителей_x000d_
(kind_of_cons)</t>
  </si>
  <si>
    <t>Тип прокладки тепловых сетей_x000d_
(kind_of_nets)</t>
  </si>
  <si>
    <t>Диапазаны диаметров тепловых сетей_x000d_
(kind_of_diameters)</t>
  </si>
  <si>
    <t>Подключаемая тепловая нагрузка_x000d_
(kind_of_load)</t>
  </si>
  <si>
    <t>Форма 2, таблица Х</t>
  </si>
  <si>
    <t>виды тарифа_x000d_
/kind_group_rates/</t>
  </si>
  <si>
    <t>Заголовок таблицы</t>
  </si>
  <si>
    <t>name_rates_4</t>
  </si>
  <si>
    <t>name_rates_8</t>
  </si>
  <si>
    <t>Подключаемая тепловая нагрузка_x000d_
(kind_of_load3)</t>
  </si>
  <si>
    <t>Вид теплоносителя_x000d_
(kind_of_heat_transfer2)</t>
  </si>
  <si>
    <t>Вид теплоносителя_x000d_
(kind_of_heat_transfer3)</t>
  </si>
  <si>
    <t>Вид топлива_x000d_
(kind_of_fuel)</t>
  </si>
  <si>
    <t>Способ закупки товаров_x000d_
(kind_of_zak)</t>
  </si>
  <si>
    <t>виды тарифа_x000d_
/kind_group_rates_load/</t>
  </si>
  <si>
    <t>виды тарифа_x000d_
/kind_group_rates_load_filter/</t>
  </si>
  <si>
    <t>виды признаков дифференциации_x000d_
/kind_of_diff/</t>
  </si>
  <si>
    <t>Диапазаны диаметров водопроводных сетей_x000d_
(kind_of_diameters2)</t>
  </si>
  <si>
    <t>List_H</t>
  </si>
  <si>
    <t>List_M</t>
  </si>
  <si>
    <t>kind_of_org_type</t>
  </si>
  <si>
    <t>Виды топлива_x000d_
/kind_of_fuels/</t>
  </si>
  <si>
    <t>YEAR_IP_LIST</t>
  </si>
  <si>
    <t>MONTH_IP_LIST</t>
  </si>
  <si>
    <t>COLDVSNA/HOTVSNA</t>
  </si>
  <si>
    <t>OTKO</t>
  </si>
  <si>
    <t>Алтайский край</t>
  </si>
  <si>
    <t>январь</t>
  </si>
  <si>
    <t>I квартал</t>
  </si>
  <si>
    <t>На официальном сайте организации</t>
  </si>
  <si>
    <t>тыс.куб.м/сутки</t>
  </si>
  <si>
    <t>метод экономически обоснованных расходов (затрат)</t>
  </si>
  <si>
    <t>Передача+Сбыт</t>
  </si>
  <si>
    <t>вода</t>
  </si>
  <si>
    <t>без дифференциации</t>
  </si>
  <si>
    <t>организации-перепродавцы</t>
  </si>
  <si>
    <t>надземная (наземная)</t>
  </si>
  <si>
    <t>50 - 250 мм</t>
  </si>
  <si>
    <t>не превышает 0,1 Гкал/ч</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</si>
  <si>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в соответствии с установленными федеральным органом исполнительной власти в области государственного регулирования тарифов в сфере теплоснабжения предельными (минимальным и (или) максимальным) уровнями указанных тарифов</t>
  </si>
  <si>
    <t>Форма 4.2.1 Информация о величинах тарифов на тепловую энергию, поддержанию резервной тепловой мощности</t>
  </si>
  <si>
    <t>Тариф на теплоноситель, поставляемый потребителям</t>
  </si>
  <si>
    <t>Плата за услуги по поддержанию резервной тепловой мощности при отсутствии потребления тепловой энергии для отдельных категорий (групп) социально значимых потребителей</t>
  </si>
  <si>
    <t>Вода</t>
  </si>
  <si>
    <t>Газ природный по регулируемой цене</t>
  </si>
  <si>
    <t>Конкурс</t>
  </si>
  <si>
    <t>объемы потребления воды абонентами</t>
  </si>
  <si>
    <t>40 мм и менее</t>
  </si>
  <si>
    <t>00</t>
  </si>
  <si>
    <t>Регулируемая организация</t>
  </si>
  <si>
    <t>газ природный по регулируемой цене</t>
  </si>
  <si>
    <t>тыс м3</t>
  </si>
  <si>
    <t>Январь</t>
  </si>
  <si>
    <t>Амурская область</t>
  </si>
  <si>
    <t>февраль</t>
  </si>
  <si>
    <t>На сайте регулирующего органа</t>
  </si>
  <si>
    <t>УСН</t>
  </si>
  <si>
    <t>метод индексации установленных тарифов</t>
  </si>
  <si>
    <t>Передача</t>
  </si>
  <si>
    <t>пар</t>
  </si>
  <si>
    <t>изменения в раскрытой ранее информации</t>
  </si>
  <si>
    <t>к коллектору источника тепловой энергии</t>
  </si>
  <si>
    <t>бюджетные организации</t>
  </si>
  <si>
    <t>подземная (канальная)</t>
  </si>
  <si>
    <t>251 - 400 мм</t>
  </si>
  <si>
    <t>более 0,1 Гкал/ч и не превышает 1,5 Гкал/ч</t>
  </si>
  <si>
    <t>Тарифы на тепловую энергию (мощность), поставляемую другим теплоснабжающим организациям теплоснабжающими организациями</t>
  </si>
  <si>
    <t>Тариф на теплоноситель, поставляемый теплоснабжающей организацией, владеющей источником (источниками) тепловой энергии, на котором производится теплоноситель</t>
  </si>
  <si>
    <t>Плата за услуги по поддержанию резервной тепловой мощности, оказываемые регулируемой организацией, мощность источников тепловой энергии которой используется для поддержания резервной мощности в соответствии со схемой теплоснабжения</t>
  </si>
  <si>
    <t>Отборный пар, 1,2-2,5 кг/см2</t>
  </si>
  <si>
    <t>Пар</t>
  </si>
  <si>
    <t>Газ природный по нерегулируемой цене</t>
  </si>
  <si>
    <t>Аукцион</t>
  </si>
  <si>
    <t>Тарифы на тепловую энергию (мощность), поставляемую потребителям теплоснабжающими организациями в соответствии с установленными предельными (минимальными и (или) максимальными) уровнями указанных тарифов</t>
  </si>
  <si>
    <t>соответствие качества питьевой воды и горячей воды требованиям, установленным санитарными нормами и правилами</t>
  </si>
  <si>
    <t>от 41 мм до 70 мм включительно</t>
  </si>
  <si>
    <t>01</t>
  </si>
  <si>
    <t>Единая теплоснабжающая организация в ценовой зоне теплоснабжения</t>
  </si>
  <si>
    <t>газ природный по нерегулируемой цене</t>
  </si>
  <si>
    <t>Февраль</t>
  </si>
  <si>
    <t>HEAT_FIN_SRC_LIST</t>
  </si>
  <si>
    <t>VSNA_FIN_SRC_LIST</t>
  </si>
  <si>
    <t>VOTV_FIN_SRC_LIST</t>
  </si>
  <si>
    <t>OTKO_FIN_SRC_LIST</t>
  </si>
  <si>
    <t>HEAT_PT_TARIFF_NAME_LIST</t>
  </si>
  <si>
    <t>COLDVSNA_PT_TARIFF_NAME_LIST</t>
  </si>
  <si>
    <t>HOTVSNA_PT_TARIFF_NAME_LIST</t>
  </si>
  <si>
    <t>VOTV_PT_TARIFF_NAME_LIST</t>
  </si>
  <si>
    <t>Архангельская область</t>
  </si>
  <si>
    <t>март</t>
  </si>
  <si>
    <t>III квартал</t>
  </si>
  <si>
    <t>ЕСХН</t>
  </si>
  <si>
    <t>куб.м/ч</t>
  </si>
  <si>
    <t>метод обеспечения доходности инвестированного капитала</t>
  </si>
  <si>
    <t>производство комбинированная выработка</t>
  </si>
  <si>
    <t>отборный пар, 1.2-2.5 кг/см2</t>
  </si>
  <si>
    <t>к тепловой сети без дополнительного преобразования на тепловых пунктах, эксплуатируемых теплоснабжающей организацией</t>
  </si>
  <si>
    <t>население и приравненные категории</t>
  </si>
  <si>
    <t>подземная (бесканальная)</t>
  </si>
  <si>
    <t>401 - 550 мм</t>
  </si>
  <si>
    <t>превышает 1,5 Гкал/ч при наличии технической возможности подключения</t>
  </si>
  <si>
    <t>Предельный уровнь цены на тепловую энергию (мощность), поставляемую теплоснабжающими организациями потребителям</t>
  </si>
  <si>
    <t>Плата за услуги по поддержанию резервной тепловой мощности, оказываемые регулируемой организацией, мощность тепловых сетей которой используется для поддержания резервной мощности в соответствии со схемой теплоснабжения</t>
  </si>
  <si>
    <t>Отборный пар, 2,5-7 кг/см2</t>
  </si>
  <si>
    <t>Уголь</t>
  </si>
  <si>
    <t>Аукцион в электронной форме</t>
  </si>
  <si>
    <t>иное</t>
  </si>
  <si>
    <t>от 71 мм до 100 мм включительно</t>
  </si>
  <si>
    <t>02</t>
  </si>
  <si>
    <t>Теплоснабжающая организация в ценовой зоне теплоснабжения</t>
  </si>
  <si>
    <t>газ сжиженный</t>
  </si>
  <si>
    <t>кг</t>
  </si>
  <si>
    <t>Март</t>
  </si>
  <si>
    <t>[ Собственные средства ]</t>
  </si>
  <si>
    <t>HEAT_PT_TARIFF_ID</t>
  </si>
  <si>
    <t>HEAT_PT_TARIFF_NAME</t>
  </si>
  <si>
    <t>COLDVSNA_PT_TARIFF_ID</t>
  </si>
  <si>
    <t>COLDVSNA_PT_TARIFF_NAME</t>
  </si>
  <si>
    <t>HOTVSNA_PT_TARIFF_ID</t>
  </si>
  <si>
    <t>HOTVSNA_PT_TARIFF_NAME</t>
  </si>
  <si>
    <t>VOTV_PT_TARIFF_ID</t>
  </si>
  <si>
    <t>VOTV_PT_TARIFF_NAME</t>
  </si>
  <si>
    <t>Астраханская область</t>
  </si>
  <si>
    <t>апрель</t>
  </si>
  <si>
    <t>IV квартал</t>
  </si>
  <si>
    <t>ПСН</t>
  </si>
  <si>
    <t>метод сравнения аналогов</t>
  </si>
  <si>
    <t>производство (некомбинированная выработка)+передача+сбыт</t>
  </si>
  <si>
    <t>отборный пар, 2.5-7 кг/см2</t>
  </si>
  <si>
    <t>к тепловой сети после тепловых пунктов (на тепловых пунктах), эксплуатируемых теплоснабжающей организацией</t>
  </si>
  <si>
    <t>прочие</t>
  </si>
  <si>
    <t>551 - 700 мм</t>
  </si>
  <si>
    <t>превышает 1,5 Гкал/ч при отсутствии технической возможности подключения</t>
  </si>
  <si>
    <t>Форма 4.2.2 Информация о величинах тарифов на теплоноситель, передачу тепловой энергии, теплоносителя</t>
  </si>
  <si>
    <t>не известна</t>
  </si>
  <si>
    <t>Отборный пар, 7-13 кг/см2</t>
  </si>
  <si>
    <t>Мазут</t>
  </si>
  <si>
    <t>Запрос котировок</t>
  </si>
  <si>
    <t>от 101 мм до 150 мм включительно</t>
  </si>
  <si>
    <t>03</t>
  </si>
  <si>
    <t>Теплосетевая организация в ценовой зоне теплоснабжения</t>
  </si>
  <si>
    <t>газовый конденсат</t>
  </si>
  <si>
    <t>тонны</t>
  </si>
  <si>
    <t>Апрель</t>
  </si>
  <si>
    <t xml:space="preserve">  Прибыль направляемая на инвестиции</t>
  </si>
  <si>
    <t xml:space="preserve">  Нормативная прибыль</t>
  </si>
  <si>
    <t>Тариф на горячую воду в закрытой системе горячего водоснабжения (горячее водоснабжение)</t>
  </si>
  <si>
    <t>Тариф на подключение (технологическое присоединение) к централизованной системе водоотведения в индивидуальном порядке</t>
  </si>
  <si>
    <t>Белгородская область</t>
  </si>
  <si>
    <t>май</t>
  </si>
  <si>
    <t>НПД</t>
  </si>
  <si>
    <t>Вид тарифа на передачу тепловой энергии /kind_of_tariff_unit/</t>
  </si>
  <si>
    <t>производство (некомбинированная выработка)+передача</t>
  </si>
  <si>
    <t>отборный пар, 7-13 кг/см2</t>
  </si>
  <si>
    <t>701 мм и выше</t>
  </si>
  <si>
    <t>Форма 4.2.3 Информация о величинах тарифов на горячую воду (в открытых системах)</t>
  </si>
  <si>
    <t>Отборный пар, &gt; 13 кг/см2</t>
  </si>
  <si>
    <t>Дизельное топливо</t>
  </si>
  <si>
    <t>Единственный поставщик</t>
  </si>
  <si>
    <t>от 151 мм до 200 мм включительно</t>
  </si>
  <si>
    <t>04</t>
  </si>
  <si>
    <t>гшз</t>
  </si>
  <si>
    <t>Май</t>
  </si>
  <si>
    <t xml:space="preserve">  [ Амортизационные отчисления ]</t>
  </si>
  <si>
    <t xml:space="preserve">  Капитальные вложения (инвестиции), финансируемые за счет нормативной прибыли, учитываемой в необходимой валовой выручке</t>
  </si>
  <si>
    <t xml:space="preserve">  Амортизационные отчисления</t>
  </si>
  <si>
    <t>Тариф на подключение к централизованной системе водоотведения</t>
  </si>
  <si>
    <t>Брянская область</t>
  </si>
  <si>
    <t>июнь</t>
  </si>
  <si>
    <t>налогообложение казённых учреждений</t>
  </si>
  <si>
    <t>руб./Гкал/ч/мес</t>
  </si>
  <si>
    <t>производство (некомбинированная выработка)+сбыт</t>
  </si>
  <si>
    <t>отборный пар, &gt; 13 кг/см2</t>
  </si>
  <si>
    <t>Острый и редуцированный пар</t>
  </si>
  <si>
    <t>Дрова</t>
  </si>
  <si>
    <t>Иное</t>
  </si>
  <si>
    <t>от 201 мм до 250 мм включительно</t>
  </si>
  <si>
    <t>05</t>
  </si>
  <si>
    <t>QRE_METHOD_LIST</t>
  </si>
  <si>
    <t>мазут</t>
  </si>
  <si>
    <t>Июнь</t>
  </si>
  <si>
    <t xml:space="preserve">      Амортизационные отчисления с выделением результатов переоценки основных средств и нематериальных активов</t>
  </si>
  <si>
    <t>[ Привлеченные средства ]</t>
  </si>
  <si>
    <t>Тариф на подключение к централизованной системе горячего водоснабжения</t>
  </si>
  <si>
    <t>Владимирская область</t>
  </si>
  <si>
    <t>июль</t>
  </si>
  <si>
    <t>смешанное налогообложение</t>
  </si>
  <si>
    <t>руб./Гкал</t>
  </si>
  <si>
    <t>производство (некомбинированная выработка)</t>
  </si>
  <si>
    <t>острый и редуцированный пар</t>
  </si>
  <si>
    <t>Электроэнергия</t>
  </si>
  <si>
    <t>от 250  мм и более</t>
  </si>
  <si>
    <t>06</t>
  </si>
  <si>
    <t>по мероприятиям</t>
  </si>
  <si>
    <t>нефть</t>
  </si>
  <si>
    <t>Июль</t>
  </si>
  <si>
    <t xml:space="preserve">      Прочие амортизационные отчисления</t>
  </si>
  <si>
    <t xml:space="preserve">     Амортизационные отчисления за исключением переоценки основных средств и нематериальных активов</t>
  </si>
  <si>
    <t xml:space="preserve">  Кредиты</t>
  </si>
  <si>
    <t>Тариф на подключение (технологическое присоединение) к централизованной системе холодного водоснабжения в индивидуальном порядке</t>
  </si>
  <si>
    <t>Тариф на подключение к централизованной системе горячего водоснабжения (инд)</t>
  </si>
  <si>
    <t>Волгоградская область</t>
  </si>
  <si>
    <t>август</t>
  </si>
  <si>
    <t>НДС общий_x000d_
/kind_of_NDS_tariff/</t>
  </si>
  <si>
    <t>НДС_x000d_
/kind_of_NDS_tariff/</t>
  </si>
  <si>
    <t>горячая вода в системе централизованного теплоснабжения на отопление</t>
  </si>
  <si>
    <t>Прочее</t>
  </si>
  <si>
    <t>Плата за подключение к системе теплоснабжения</t>
  </si>
  <si>
    <t>07</t>
  </si>
  <si>
    <t>по группам мероприятий</t>
  </si>
  <si>
    <t>дизельное топливо</t>
  </si>
  <si>
    <t>Август</t>
  </si>
  <si>
    <t xml:space="preserve">  Прочие собственные средства</t>
  </si>
  <si>
    <t xml:space="preserve">     Амортизационные отчисления в результате переоценки основных средств и нематериальных активов</t>
  </si>
  <si>
    <t xml:space="preserve">  [ Займы ]</t>
  </si>
  <si>
    <t>Вологодская область</t>
  </si>
  <si>
    <t>сентябрь</t>
  </si>
  <si>
    <t>тариф указан с НДС для плательщиков НДС</t>
  </si>
  <si>
    <t>тариф для организаций не являющихся плательщиками НДС</t>
  </si>
  <si>
    <t>Установленная электрическая мощность. Теплоэлектростанции. Ед.измерения  /kind_of_power_te_unit/</t>
  </si>
  <si>
    <t>цель инвестиционной программы /kind_of_purchase_method/</t>
  </si>
  <si>
    <t>горячая вода в системе централизованного теплоснабжения на горячее водоснабжение</t>
  </si>
  <si>
    <t>Плата за подключение к системе теплоснабжения (индивидуальная)</t>
  </si>
  <si>
    <t>Форма 4.2.5 Информация о плате за подключение к системе теплоснабжения в индивидуальном порядке</t>
  </si>
  <si>
    <t>08</t>
  </si>
  <si>
    <t>в целом на инвестиционную программу</t>
  </si>
  <si>
    <t>уголь бурый</t>
  </si>
  <si>
    <t>Сентябрь</t>
  </si>
  <si>
    <t xml:space="preserve">  За счет платы за технологическое присоединение</t>
  </si>
  <si>
    <t xml:space="preserve">     Прочие амортизационные отчисления</t>
  </si>
  <si>
    <t xml:space="preserve">      Займы, предоставленные Фондом ЖКХ за счет средств ФНБ</t>
  </si>
  <si>
    <t>Воронежская область</t>
  </si>
  <si>
    <t>октябрь</t>
  </si>
  <si>
    <t>тариф указан без НДС для плательщиков НДС</t>
  </si>
  <si>
    <t>тариф не утверждался</t>
  </si>
  <si>
    <t>кВт*ч</t>
  </si>
  <si>
    <t>Торги/аукционы</t>
  </si>
  <si>
    <t>прочее</t>
  </si>
  <si>
    <t>Форма 4.2.4 Информация о величинах тарифов на подключение к системе теплоснабжения</t>
  </si>
  <si>
    <t>09</t>
  </si>
  <si>
    <t>по муниципальным образованиям/территориям</t>
  </si>
  <si>
    <t>уголь каменный</t>
  </si>
  <si>
    <t>Октябрь</t>
  </si>
  <si>
    <t xml:space="preserve">  [ Экономия расходов ]</t>
  </si>
  <si>
    <t xml:space="preserve">      Прочие займы</t>
  </si>
  <si>
    <t>г.Байконур</t>
  </si>
  <si>
    <t>ноябрь</t>
  </si>
  <si>
    <t>МВт</t>
  </si>
  <si>
    <t>Прямые договора без торгов</t>
  </si>
  <si>
    <t>Предельный уровнь цены на тепловую энергию (мощность), поставляемую теплоснабжающими организациями потребителям. Индикативы</t>
  </si>
  <si>
    <t>по централизованным системам</t>
  </si>
  <si>
    <t>торф</t>
  </si>
  <si>
    <t>Ноябрь</t>
  </si>
  <si>
    <t xml:space="preserve">      Экономия расходов в результате реализации мероприятий инвестиционной программы</t>
  </si>
  <si>
    <t xml:space="preserve">  Средства, полученные за счет платы за подключение (технологическое присоединение)</t>
  </si>
  <si>
    <t>[ Бюджетное финансирование ]</t>
  </si>
  <si>
    <t>г. Москва</t>
  </si>
  <si>
    <t>декабрь</t>
  </si>
  <si>
    <t>дрова</t>
  </si>
  <si>
    <t>м3</t>
  </si>
  <si>
    <t>Декабрь</t>
  </si>
  <si>
    <t xml:space="preserve">      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</si>
  <si>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 xml:space="preserve">  Федеральный бюджет</t>
  </si>
  <si>
    <t>г.Санкт-Петербург</t>
  </si>
  <si>
    <t>Объём приобретаемой тепловой энергии (мощности), используемой для горячего водоснабжения. Ед.измерения  /kind_of_volume_te_unit/</t>
  </si>
  <si>
    <t>Вид деятельности /kind_of_activity/</t>
  </si>
  <si>
    <t>TITLE_IP_DETAILED_METHOD_LIST</t>
  </si>
  <si>
    <t>опил</t>
  </si>
  <si>
    <t xml:space="preserve">      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</si>
  <si>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 xml:space="preserve">  Бюджет субъекта РФ</t>
  </si>
  <si>
    <t>г.Севастополь</t>
  </si>
  <si>
    <t>TemplateState</t>
  </si>
  <si>
    <t>НДС общий люди_x000d_
/kind_of_NDS_tariff_people/</t>
  </si>
  <si>
    <t>НДС_x000d_
/kind_of_NDS_tariff_people/</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</si>
  <si>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МВт и более</t>
  </si>
  <si>
    <t>отходы березовые</t>
  </si>
  <si>
    <t xml:space="preserve">      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</si>
  <si>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 xml:space="preserve">  Бюджет муниципального образования</t>
  </si>
  <si>
    <t>Донецкая Народная Республика</t>
  </si>
  <si>
    <t>START_FILL</t>
  </si>
  <si>
    <t>тариф с НДС организаций-плательщиков НДС</t>
  </si>
  <si>
    <t>тариф организаций не являющихся плательщиками НДС</t>
  </si>
  <si>
    <t>15</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</si>
  <si>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менее 25 МВт</t>
  </si>
  <si>
    <t>отходы осиновые</t>
  </si>
  <si>
    <t xml:space="preserve">      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</si>
  <si>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 Прочие источники финансирования ]</t>
  </si>
  <si>
    <t>Еврейская автономная область</t>
  </si>
  <si>
    <t>16</t>
  </si>
  <si>
    <t>производство тепловой энергии (мощности) не в режиме комбинированной выработки электрической и тепловой энергии источниками тепловой энергии</t>
  </si>
  <si>
    <t>по мероприятиям и группам мероприятий</t>
  </si>
  <si>
    <t>печное топливо</t>
  </si>
  <si>
    <t xml:space="preserve">      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</si>
  <si>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 xml:space="preserve">  Лизинг</t>
  </si>
  <si>
    <t>COLDVSNA_PT_VED_NAME_LIST</t>
  </si>
  <si>
    <t>HOTVSNA_PT_VED_NAME_LIST</t>
  </si>
  <si>
    <t>VOTV_PT_VED_NAME_LIST</t>
  </si>
  <si>
    <t>TKO_PT_VED_NAME_LIST</t>
  </si>
  <si>
    <t>Забайкальский край</t>
  </si>
  <si>
    <t>Тарифы на тепло для REQUEST.HEAT_x000d_
/kind_of_tariff_RHEAT/</t>
  </si>
  <si>
    <t>17</t>
  </si>
  <si>
    <t>производство теплоносителя</t>
  </si>
  <si>
    <t>пилеты</t>
  </si>
  <si>
    <t xml:space="preserve">      Экономия средств, достигнутая регулируемой организацией в результате снижения расходов</t>
  </si>
  <si>
    <t xml:space="preserve">  Прочие</t>
  </si>
  <si>
    <t>COLDVSNA_PT_VED_ID</t>
  </si>
  <si>
    <t>COLDVSNA_PT_VED_NAME</t>
  </si>
  <si>
    <t>HOTVSNA_PT_VED_ID</t>
  </si>
  <si>
    <t>HOTVSNA_PT_VED_NAME</t>
  </si>
  <si>
    <t>VOTV_PT_VED_ID</t>
  </si>
  <si>
    <t>VOTV_PT_VED_NAME</t>
  </si>
  <si>
    <t>TKO_PT_VED_ID</t>
  </si>
  <si>
    <t>TKO_PT_VED_NAME</t>
  </si>
  <si>
    <t>Запорожская область</t>
  </si>
  <si>
    <t>18</t>
  </si>
  <si>
    <t>передача тепловой энергии и теплоносителя</t>
  </si>
  <si>
    <t>IP_CLAIM_LIST</t>
  </si>
  <si>
    <t>смола</t>
  </si>
  <si>
    <t xml:space="preserve">  Прочие привлеченные средства</t>
  </si>
  <si>
    <t xml:space="preserve">      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</si>
  <si>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Производство тепловой энергии. Некомбинированная выработка</t>
  </si>
  <si>
    <t>Холодное водоснабжение. Питьевая вода</t>
  </si>
  <si>
    <t>Горячее водоснабжение</t>
  </si>
  <si>
    <t>Водоотведение</t>
  </si>
  <si>
    <t>Захоронение твердых коммунальных отходов</t>
  </si>
  <si>
    <t>Ивановская область</t>
  </si>
  <si>
    <t>19</t>
  </si>
  <si>
    <t>сбыт тепловой энергии и теплоносителя</t>
  </si>
  <si>
    <t>уменьшение удельных затрат (повышение КПД)</t>
  </si>
  <si>
    <t>щепа</t>
  </si>
  <si>
    <t>Производство тепловой энергии. Комбинированная выработка с уст. мощностью производства электрической энергии менее 25 МВт</t>
  </si>
  <si>
    <t>Холодное водоснабжение. Техническая вода</t>
  </si>
  <si>
    <t>Транспортировка</t>
  </si>
  <si>
    <t>Обезвреживание твердых коммунальных отходов</t>
  </si>
  <si>
    <t>Иркутская область</t>
  </si>
  <si>
    <t>20</t>
  </si>
  <si>
    <t>подключение к системе теплоснабжения</t>
  </si>
  <si>
    <t>автоматизация (с уменьшением штата)</t>
  </si>
  <si>
    <t>горючий сланец</t>
  </si>
  <si>
    <t>Производство тепловой энергии. Комбинированная выработка с уст. мощностью производства электрической энергии 25 МВт и более</t>
  </si>
  <si>
    <t>Холодное водоснабжение. Подвозная вода</t>
  </si>
  <si>
    <t>Подключение (технологическое присоединение) к централизованной системе горячего водоснабжения</t>
  </si>
  <si>
    <t>Подключение (технологическое присоединение) к централизованной системе водоотведения</t>
  </si>
  <si>
    <t>Обработка твердых коммунальных отходов</t>
  </si>
  <si>
    <t>Кабардино-Балкарская республика</t>
  </si>
  <si>
    <t>поддержание резервной тепловой мощности при отсутствии потребления тепловой энергии</t>
  </si>
  <si>
    <t>уменьшение издержек на производство</t>
  </si>
  <si>
    <t>керосин</t>
  </si>
  <si>
    <t>Производство. Теплоноситель</t>
  </si>
  <si>
    <t>Транспортировка. Питьевая вода</t>
  </si>
  <si>
    <t>Калининградская область</t>
  </si>
  <si>
    <t>21</t>
  </si>
  <si>
    <t>снижение аварийности</t>
  </si>
  <si>
    <t>кислородно-водородная смесь</t>
  </si>
  <si>
    <t>Передача. Тепловая энергия</t>
  </si>
  <si>
    <t>Транспортировка. Техническая вода</t>
  </si>
  <si>
    <t>Энергетическая утилизация</t>
  </si>
  <si>
    <t>Калужская область</t>
  </si>
  <si>
    <t>22</t>
  </si>
  <si>
    <t>улучшение качества</t>
  </si>
  <si>
    <t>электроэнергия (НН)</t>
  </si>
  <si>
    <t>тыс кВт.ч</t>
  </si>
  <si>
    <t>Передача. Теплоноситель</t>
  </si>
  <si>
    <t>Транспортировка. Подвозная вода</t>
  </si>
  <si>
    <t>Транспортирование твердых коммунальных отходов</t>
  </si>
  <si>
    <t>Камчатский край</t>
  </si>
  <si>
    <t>23</t>
  </si>
  <si>
    <t>повышение надёжности и энергетической эффективности</t>
  </si>
  <si>
    <t>электроэнергия (СН1)</t>
  </si>
  <si>
    <t>Сбыт. Тепловая энергия</t>
  </si>
  <si>
    <t>Подключение (технологическое присоединение) к централизованной системе водоснабжения</t>
  </si>
  <si>
    <t>Карачаево-Черкесская республика</t>
  </si>
  <si>
    <t>CROSSES</t>
  </si>
  <si>
    <t>24</t>
  </si>
  <si>
    <t>электроэнергия (СН2)</t>
  </si>
  <si>
    <t>Сбыт. Теплоноситель</t>
  </si>
  <si>
    <t>Кемеровская область</t>
  </si>
  <si>
    <t>25</t>
  </si>
  <si>
    <t>электроэнергия (ВН)</t>
  </si>
  <si>
    <t>Подключение (технологическое присоединение) к системе теплоснабжения</t>
  </si>
  <si>
    <t>Кировская область</t>
  </si>
  <si>
    <t>Текущая дата</t>
  </si>
  <si>
    <t>26</t>
  </si>
  <si>
    <t>PT_GROUP_CONSUMER_LIST</t>
  </si>
  <si>
    <t>мощность</t>
  </si>
  <si>
    <t>тыс кВт</t>
  </si>
  <si>
    <t>Поддержание резервной тепловой мощности при отсутствии потребления тепловой энергии</t>
  </si>
  <si>
    <t>Костромская область</t>
  </si>
  <si>
    <t>Организация</t>
  </si>
  <si>
    <t>25.07.2023 22:51:32</t>
  </si>
  <si>
    <t>27</t>
  </si>
  <si>
    <t>28</t>
  </si>
  <si>
    <t xml:space="preserve">  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</si>
  <si>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Красноярский край</t>
  </si>
  <si>
    <t>29</t>
  </si>
  <si>
    <t>население</t>
  </si>
  <si>
    <t xml:space="preserve">  Иные бюджетные средства</t>
  </si>
  <si>
    <t>Курганская область</t>
  </si>
  <si>
    <t>Виды деятельности</t>
  </si>
  <si>
    <t>https://appsrv.regportal-tariff.ru/procwsxls/</t>
  </si>
  <si>
    <t>30</t>
  </si>
  <si>
    <t>Курская область</t>
  </si>
  <si>
    <t>31</t>
  </si>
  <si>
    <t>Ленинградская область</t>
  </si>
  <si>
    <t>32</t>
  </si>
  <si>
    <t>Липецкая область</t>
  </si>
  <si>
    <t>33</t>
  </si>
  <si>
    <t>PT_SCHEME_LIST</t>
  </si>
  <si>
    <t xml:space="preserve">  Доход от взимания платы за нарушение нормативов по объему и (или) составу сточных вод</t>
  </si>
  <si>
    <t>Луганская Народная Республика</t>
  </si>
  <si>
    <t>TEMPLATE_SPHERE</t>
  </si>
  <si>
    <t>34</t>
  </si>
  <si>
    <t xml:space="preserve">  Доход от взимания платы за негативное воздействие на работу централизованной системы водоотведения</t>
  </si>
  <si>
    <t>Магаданская область</t>
  </si>
  <si>
    <t>теплоснабжения</t>
  </si>
  <si>
    <t>теплоснабжение</t>
  </si>
  <si>
    <t>35</t>
  </si>
  <si>
    <t>Московская область</t>
  </si>
  <si>
    <t>холодного водоснабжения</t>
  </si>
  <si>
    <t>холодное водоснабжение</t>
  </si>
  <si>
    <t>36</t>
  </si>
  <si>
    <t>HEAT_FIN_SRC_VLD_LIST</t>
  </si>
  <si>
    <t>VSNA_FIN_SRC_VLD_LIST</t>
  </si>
  <si>
    <t>VOTV_FIN_SRC_VLD_LIST</t>
  </si>
  <si>
    <t>OTKO_FIN_SRC_VLD_LIST</t>
  </si>
  <si>
    <t>Мурманская область</t>
  </si>
  <si>
    <t>водоотведения</t>
  </si>
  <si>
    <t>водоотведение</t>
  </si>
  <si>
    <t>37</t>
  </si>
  <si>
    <t>Прибыль направляемая на инвестиции</t>
  </si>
  <si>
    <t>Нормативная прибыль</t>
  </si>
  <si>
    <t>Ненецкий автономный округ</t>
  </si>
  <si>
    <t>горячего водоснабжения</t>
  </si>
  <si>
    <t>горячее водоснабжение</t>
  </si>
  <si>
    <t>38</t>
  </si>
  <si>
    <t>Амортизационные отчисления с выделением результатов переоценки основных средств и нематериальных активов</t>
  </si>
  <si>
    <t>Нижегородская область</t>
  </si>
  <si>
    <t>обращения с твердыми коммунальными отходами</t>
  </si>
  <si>
    <t>TKO</t>
  </si>
  <si>
    <t>39</t>
  </si>
  <si>
    <t>PT_TN_LIST</t>
  </si>
  <si>
    <t>Прочие амортизационные отчисления</t>
  </si>
  <si>
    <t>Новгородская область</t>
  </si>
  <si>
    <t>40</t>
  </si>
  <si>
    <t>Займы, предоставленные Фондом ЖКХ за счет средств ФНБ</t>
  </si>
  <si>
    <t>Новосибирская область</t>
  </si>
  <si>
    <t>41</t>
  </si>
  <si>
    <t>За счет платы за технологическое присоединение</t>
  </si>
  <si>
    <t>Прочие займы</t>
  </si>
  <si>
    <t>Омская область</t>
  </si>
  <si>
    <t>PeriodIsEmpty</t>
  </si>
  <si>
    <t>NameTemplatesInTitle</t>
  </si>
  <si>
    <t>NameTemplatesInListMO</t>
  </si>
  <si>
    <t>42</t>
  </si>
  <si>
    <t>Экономия расходов в результате реализации мероприятий инвестиционной программы</t>
  </si>
  <si>
    <t>Федеральный бюджет</t>
  </si>
  <si>
    <t>Оренбургская область</t>
  </si>
  <si>
    <t>TEMPLATE_GROUP</t>
  </si>
  <si>
    <t>Q</t>
  </si>
  <si>
    <t>CodeTemplate</t>
  </si>
  <si>
    <t>StartDate</t>
  </si>
  <si>
    <t>EndDate</t>
  </si>
  <si>
    <t>43</t>
  </si>
  <si>
    <t>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</si>
  <si>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Бюджет субъекта РФ</t>
  </si>
  <si>
    <t>Орловская область</t>
  </si>
  <si>
    <t>O</t>
  </si>
  <si>
    <t>44</t>
  </si>
  <si>
    <t>Бюджет муниципального образования</t>
  </si>
  <si>
    <t>Пензенская область</t>
  </si>
  <si>
    <t>45</t>
  </si>
  <si>
    <t>Лизинг</t>
  </si>
  <si>
    <t>Пермский край</t>
  </si>
  <si>
    <t>BALANCE</t>
  </si>
  <si>
    <t>B</t>
  </si>
  <si>
    <t>Информация о показателях финансово-хозяйственной деятельности, об основных потребительских характеристиках регулируемых товаров и услуг, об инвестиционных программах</t>
  </si>
  <si>
    <t>46</t>
  </si>
  <si>
    <t>Прочие</t>
  </si>
  <si>
    <t>Приморский край</t>
  </si>
  <si>
    <t>TERMS</t>
  </si>
  <si>
    <t>T</t>
  </si>
  <si>
    <t>47</t>
  </si>
  <si>
    <t>Псковская область</t>
  </si>
  <si>
    <t>INVEST</t>
  </si>
  <si>
    <t>48</t>
  </si>
  <si>
    <t>Республика Адыгея</t>
  </si>
  <si>
    <t>REQUEST</t>
  </si>
  <si>
    <t>R</t>
  </si>
  <si>
    <t>49</t>
  </si>
  <si>
    <t>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</si>
  <si>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Республика Алтай</t>
  </si>
  <si>
    <t>PRICE</t>
  </si>
  <si>
    <t>P</t>
  </si>
  <si>
    <t>50</t>
  </si>
  <si>
    <t>Республика Башкортостан</t>
  </si>
  <si>
    <t>ROIV</t>
  </si>
  <si>
    <t>Показатели, подлежащие раскрытию органами регулирования</t>
  </si>
  <si>
    <t>51</t>
  </si>
  <si>
    <t>Республика Бурятия</t>
  </si>
  <si>
    <t>52</t>
  </si>
  <si>
    <t>PT_NETS_LIST</t>
  </si>
  <si>
    <t>Республика Дагестан</t>
  </si>
  <si>
    <t>53</t>
  </si>
  <si>
    <t>Республика Ингушетия</t>
  </si>
  <si>
    <t>TERRITORY_ID</t>
  </si>
  <si>
    <t>начинать только с 2, остальное по умолчанию</t>
  </si>
  <si>
    <t>54</t>
  </si>
  <si>
    <t>Республика Калмыкия</t>
  </si>
  <si>
    <t>DIFFERENTIATION_ID</t>
  </si>
  <si>
    <t>55</t>
  </si>
  <si>
    <t>Республика Карелия</t>
  </si>
  <si>
    <t>IP_ID</t>
  </si>
  <si>
    <t>56</t>
  </si>
  <si>
    <t>Республика Коми</t>
  </si>
  <si>
    <t>начинать только с 30, остальное по умолчанию</t>
  </si>
  <si>
    <t>57</t>
  </si>
  <si>
    <t>PT_DIAMETERS_LIST</t>
  </si>
  <si>
    <t>Республика Крым</t>
  </si>
  <si>
    <t>VDET_ID</t>
  </si>
  <si>
    <t>58</t>
  </si>
  <si>
    <t>Республика Марий Эл</t>
  </si>
  <si>
    <t>NTAR_ID</t>
  </si>
  <si>
    <t>59</t>
  </si>
  <si>
    <t>Республика Мордовия</t>
  </si>
  <si>
    <t>Республика Саха (Якутия)</t>
  </si>
  <si>
    <t>CS_ID</t>
  </si>
  <si>
    <t>Республика Северная Осетия-Алания</t>
  </si>
  <si>
    <t>IST_TE_ID</t>
  </si>
  <si>
    <t>Республика Татарстан</t>
  </si>
  <si>
    <t>Республика Тыва</t>
  </si>
  <si>
    <t>PT_LOAD_LIST</t>
  </si>
  <si>
    <t>Республика Хакасия</t>
  </si>
  <si>
    <t>Ростовская область</t>
  </si>
  <si>
    <t>HEAT_IP_EVENT_GROUP_LIST</t>
  </si>
  <si>
    <t>VSNA_IP_EVENT_GROUP_LIST</t>
  </si>
  <si>
    <t>VOTV_IP_EVENT_GROUP_LIST</t>
  </si>
  <si>
    <t>OTKO_IP_EVENT_GROUP_LIST</t>
  </si>
  <si>
    <t>Рязанская область</t>
  </si>
  <si>
    <t>Строительство, реконструкция или модернизация объектов теплоснабжения в целях подключения потребителей с указанием объектов теплоснабжения, строительство которых финансируется за счет платы за подключение</t>
  </si>
  <si>
    <t>Строительство, реконструкция или модернизация объектов водоснабжения в целях подключения потребителей с указанием объектов водоснабжения, строительство которых финансируется за счет платы за подключение</t>
  </si>
  <si>
    <t>Строительство, реконструкция или модернизация объектов водоотведения и очистки сточных вод в целях подключения потребителей с указанием объектов водоотведения и очистки сточных вод, строительство которых финансируется за счет платы за подключение</t>
  </si>
  <si>
    <t>Мероприятия инвестиционной программы в части накопления твердых коммунальных отходов</t>
  </si>
  <si>
    <t>Самарская область</t>
  </si>
  <si>
    <t>Строительство новых объектов теплоснабжения, не связанных с подключением (технологическим присоединением) новых потребителей, в том числе строительство новых тепловых сетей</t>
  </si>
  <si>
    <t>Строительство новых объектов водоснабжения, не связанных с подключением (технологическим присоединением) новых потребителей, в том числе строительство новых сетей водоснабжения</t>
  </si>
  <si>
    <t>Строительство новых объектов водоотведения и очистки сточных вод, не связанных с подключением (технологическим присоединением) новых потребителей, в том числе строительство новых сетей водоотведения и очистки сточных вод</t>
  </si>
  <si>
    <t>Мероприятия инвестиционной программы в части обработки твердых коммунальных отходов</t>
  </si>
  <si>
    <t>Саратовская область</t>
  </si>
  <si>
    <t>Реконструкция или модернизация существующих объектов теплоснабжения в целях снижения уровня износа существующих объектов теплоснабжения</t>
  </si>
  <si>
    <t>Реконструкция или модернизация существующих объектов водоснабжения в целях снижения уровня износа существующих объектов водоснабжения</t>
  </si>
  <si>
    <t>Реконструкция или модернизация существующих объектов водоотведения и очистки сточных вод в целях снижения уровня износа существующих объектов водоотведения и очистки сточных вод</t>
  </si>
  <si>
    <t>Мероприятия инвестиционной программы в части утилизации твердых коммунальных отходов</t>
  </si>
  <si>
    <t>Сахалинская область</t>
  </si>
  <si>
    <t>Мероприятия, направленные на повышение экологической эффективности</t>
  </si>
  <si>
    <t>Мероприятия инвестиционной программы в части обезвреживания твердых коммунальных отходов</t>
  </si>
  <si>
    <t>Свердловская область</t>
  </si>
  <si>
    <t>Вывод из эксплуатации, консервации и демонтаж объектов теплоснабжения</t>
  </si>
  <si>
    <t>Вывод из эксплуатации, консервация и демонтаж объектов водоснабжения</t>
  </si>
  <si>
    <t>Вывод из эксплуатации, консервация и демонтаж объектов водоотведения и очистки сточных вод</t>
  </si>
  <si>
    <t>Мероприятия инвестиционной программы в части хранения твердых коммунальных отходов</t>
  </si>
  <si>
    <t>Смоленская область</t>
  </si>
  <si>
    <t>Мероприятия, направленные на повышение энергоэффективности в сфере теплоснабжения</t>
  </si>
  <si>
    <t>Мероприятия, направленные на повышение энергоэффективности в сфере водоснабжения</t>
  </si>
  <si>
    <t>Мероприятия, направленные на повышение энергоэффективности в сфере водоотведения и очистки сточных вод</t>
  </si>
  <si>
    <t>Мероприятия инвестиционной программы в части захоронения твердых коммунальных отходов</t>
  </si>
  <si>
    <t>Ставропольский край</t>
  </si>
  <si>
    <t>PT_DIAMETERS_2_LIST</t>
  </si>
  <si>
    <t>Мероприятия по подготовке проектной документации</t>
  </si>
  <si>
    <t>Тамбовская область</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</si>
  <si>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осуществлением деятельности в сфере теплоснабжения, включая мероприятия по обеспечению безопасности и антитеррористической защищенности объектов топливно-энергетического комплекса, безопасности критической информационной инфраструктуры</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</si>
  <si>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горячего водоснабжения, холодного водоснабжения с использованием централизованных систем водоснабжения</t>
  </si>
  <si>
    <t xml:space="preserve">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водоотведения с использованием централизованных систем водоотведения_x000d_
</t>
  </si>
  <si>
    <t>Тверская область</t>
  </si>
  <si>
    <t>Томская область</t>
  </si>
  <si>
    <t>Тульская область</t>
  </si>
  <si>
    <t>HEAT_IP_EVENT_SUBGROUP_1_LIST</t>
  </si>
  <si>
    <t>VSNA_IP_EVENT_SUBGROUP_1_LIST</t>
  </si>
  <si>
    <t>VOTV_IP_EVENT_SUBGROUP_1_LIST</t>
  </si>
  <si>
    <t>Тюменская область</t>
  </si>
  <si>
    <t>строительство новых тепловых сетей в целях подключения потребителей</t>
  </si>
  <si>
    <t>строительство новых сетей водоснабжения в целях подключения потребителей</t>
  </si>
  <si>
    <t>строительство новых сетей водоотведения и очистки сточных вод в целях подключения потребителей</t>
  </si>
  <si>
    <t>Удмуртская республика</t>
  </si>
  <si>
    <t>строительство иных объектов теплоснабжения за исключением тепловых сетей в целях подключения потребителей</t>
  </si>
  <si>
    <t>строительство иных объектов водоснабжения, за исключением сетей водоснабжения в целях подключения потребителей</t>
  </si>
  <si>
    <t>строительство иных объектов водоотведения и очистки сточных вод, за исключением сетей водоотведения и очистки сточных вод в целях подключения потребителей</t>
  </si>
  <si>
    <t>Ульяновская область</t>
  </si>
  <si>
    <t>увеличение пропускной способности существующих тепловых сетей в целях подключения потребителей</t>
  </si>
  <si>
    <t>увеличение пропускной способности существующих сетей водоснабжения в целях подключения потребителей</t>
  </si>
  <si>
    <t>увеличение пропускной способности существующих сетей водоотведения и очистки сточных вод в целях подключения потребителей</t>
  </si>
  <si>
    <t>Хабаровский край</t>
  </si>
  <si>
    <t>увеличение мощности и производительности существующих объектов теплоснабжения за исключением тепловых сетей в целях подключения потребителей</t>
  </si>
  <si>
    <t>увеличение мощности и производительности существующих объектов водоснабжения, за исключением сетей водоснабжения в целях подключения потребителей</t>
  </si>
  <si>
    <t>увеличение мощности и производительности существующих объектов водоотведения и очистки сточных вод за исключением сетей водоотведения и очистки сточных вод, в целях подключения потребителей</t>
  </si>
  <si>
    <t>Ханты-Мансийский автономный округ</t>
  </si>
  <si>
    <t>TYPE_TKO_LIST</t>
  </si>
  <si>
    <t>Херсонская область</t>
  </si>
  <si>
    <t>несортированные</t>
  </si>
  <si>
    <t>Челябинская область</t>
  </si>
  <si>
    <t>сортированные</t>
  </si>
  <si>
    <t>HEAT_IP_EVENT_SUBGROUP_3_LIST</t>
  </si>
  <si>
    <t>VSNA_IP_EVENT_SUBGROUP_3_LIST</t>
  </si>
  <si>
    <t>VOTV_IP_EVENT_SUBGROUP_3_LIST</t>
  </si>
  <si>
    <t>Чеченская республика</t>
  </si>
  <si>
    <t>крупногабаритные</t>
  </si>
  <si>
    <t>реконструкция или модернизация существующих тепловых сетей</t>
  </si>
  <si>
    <t>реконструкция или модернизация существующих сетей водоснабжения</t>
  </si>
  <si>
    <t>реконструкция или модернизация существующих сетей водоотведения и очистки сточных вод</t>
  </si>
  <si>
    <t>Чувашская республика</t>
  </si>
  <si>
    <t>реконструкция или модернизация существующих объектов теплоснабжения, за исключением тепловых сетей</t>
  </si>
  <si>
    <t>реконструкция или модернизация существующих объектов водоснабжения, за исключением сетей водоснабжения</t>
  </si>
  <si>
    <t>реконструкция или модернизация существующих объектов водоотведения и очистки сточных вод, за исключением сетей водоотведения и очистки сточных вод</t>
  </si>
  <si>
    <t>Чукотский автономный округ</t>
  </si>
  <si>
    <t>CLASS_TKO_LIST</t>
  </si>
  <si>
    <t>Ямало-Ненецкий автономный округ</t>
  </si>
  <si>
    <t>Ярославская область</t>
  </si>
  <si>
    <t>HEAT_IP_EVENT_SUBGROUP_5_LIST</t>
  </si>
  <si>
    <t>VSNA_IP_EVENT_SUBGROUP_5_LIST</t>
  </si>
  <si>
    <t>VOTV_IP_EVENT_SUBGROUP_5_LIST</t>
  </si>
  <si>
    <t>III</t>
  </si>
  <si>
    <t>вывод из эксплуатации, консервация и демонтаж тепловых сетей</t>
  </si>
  <si>
    <t>вывод из эксплуатации, консервация и демонтаж сетей водоснабжения</t>
  </si>
  <si>
    <t>вывод из эксплуатации, консервация и демонтаж сетей водоотведения и очистки сточных вод</t>
  </si>
  <si>
    <t>IV</t>
  </si>
  <si>
    <t>вывод из эксплуатации, консервация и демонтаж иных объектов теплоснабжения, за исключением тепловых сетей</t>
  </si>
  <si>
    <t>вывод из эксплуатации, консервация и демонтаж иных объектов водоснабжения, за исключением сетей водоснабжения</t>
  </si>
  <si>
    <t>вывод из эксплуатации, консервация и демонтаж иных объектов водоотведения и очистки сточных вод, за исключением сетей водоотведения и очистки сточных вод</t>
  </si>
  <si>
    <t>V</t>
  </si>
  <si>
    <t>ROIV_INFO_LIST_HEAT</t>
  </si>
  <si>
    <t>HEAT_IP_EVENT_CI_STAGE_LIST</t>
  </si>
  <si>
    <t>VSNA_IP_EVENT_CI_STAGE_LIST</t>
  </si>
  <si>
    <t>VOTV_IP_EVENT_CI_STAGE_LIST</t>
  </si>
  <si>
    <t>OTKO_IP_EVENT_CI_STAGE_LIST</t>
  </si>
  <si>
    <t>информация об органе регулирования и перечень организаций</t>
  </si>
  <si>
    <t>в течение 30 дней со дня изменения такой информации</t>
  </si>
  <si>
    <t>производство тепловой энергии</t>
  </si>
  <si>
    <t>на забор и подъём воды</t>
  </si>
  <si>
    <t>на транспортировку сточных вод</t>
  </si>
  <si>
    <t>сбор</t>
  </si>
  <si>
    <t>доклад о результатах правоприменительной практики</t>
  </si>
  <si>
    <t>не позднее 3 дней со дня утверждения доклада</t>
  </si>
  <si>
    <t>передача теплоэнергии по региональным тепловым сетям</t>
  </si>
  <si>
    <t>на водоподготовку</t>
  </si>
  <si>
    <t>очистка сточных вод</t>
  </si>
  <si>
    <t>накопление</t>
  </si>
  <si>
    <t>дата, время и место проведения заседания об установлении тарифов</t>
  </si>
  <si>
    <t>прочие объекты и мероприятия, относимые к регулируемому виду деятельности</t>
  </si>
  <si>
    <t>на транспортировку воды</t>
  </si>
  <si>
    <t>обращение с осадком сточных вод</t>
  </si>
  <si>
    <t>транспортирование</t>
  </si>
  <si>
    <t>информация о принятых решениях об установлении тарифов</t>
  </si>
  <si>
    <t>обработка</t>
  </si>
  <si>
    <t>информация о принятых решениях об утверждении предельного уровня цены на тепловую энергию (мощность)</t>
  </si>
  <si>
    <t>в течение 10 дней со дня принятия соответствующего решения</t>
  </si>
  <si>
    <t>утилизация</t>
  </si>
  <si>
    <t>протокол заседания правления</t>
  </si>
  <si>
    <t>обезвреживание</t>
  </si>
  <si>
    <t>информация о привлечении к ответственности</t>
  </si>
  <si>
    <t>до 30 апреля года, следующего за отчётным годом</t>
  </si>
  <si>
    <t>размещение отходов</t>
  </si>
  <si>
    <t>энергетическая утилизация</t>
  </si>
  <si>
    <t>UNIT_CONNECT_LIST</t>
  </si>
  <si>
    <t>тыс.руб./Гкал/ч</t>
  </si>
  <si>
    <t>тыс.руб.</t>
  </si>
  <si>
    <t>WARM_IP_EVENT_TYPE_LIST</t>
  </si>
  <si>
    <t>VSNA_IP_EVENT_TYPE_LIST</t>
  </si>
  <si>
    <t>VOTV_IP_EVENT_TYPE_LIST</t>
  </si>
  <si>
    <t>OTKO_IP_EVENT_TYPE_LIST</t>
  </si>
  <si>
    <t>Производство тепловой энергии</t>
  </si>
  <si>
    <t>Водоснабжение</t>
  </si>
  <si>
    <t>Обращение с твердыми коммунальными отходами</t>
  </si>
  <si>
    <t>Прочие объекты и мероприятия, относимые к регулируемому виду деятельности</t>
  </si>
  <si>
    <t>ROIV_INFO_LIST_NO_HEAT</t>
  </si>
  <si>
    <t>HEAT_PT_SCHEME</t>
  </si>
  <si>
    <t>Фамилия, имя и отчество (при наличии) руководителя:</t>
  </si>
  <si>
    <t>фамилия</t>
  </si>
  <si>
    <t>Указывается фамилия руководителя в соответствии с паспортными данными физического лица.</t>
  </si>
  <si>
    <t>имя</t>
  </si>
  <si>
    <t>Указывается имя руководителя в соответствии с паспортными данными физического лица.</t>
  </si>
  <si>
    <t>отчество (при наличии)</t>
  </si>
  <si>
    <t>Указывается отчество руководителя в соответствии с паспортными данными физического лица (при наличии).</t>
  </si>
  <si>
    <t xml:space="preserve">Почтовый адрес </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</si>
  <si>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ФИАС.</t>
  </si>
  <si>
    <t xml:space="preserve">Адрес места нахождения </t>
  </si>
  <si>
    <t>Справочные телефоны</t>
  </si>
  <si>
    <t>Указывается номер контактного телефона. В случае наличия нескольких номеров телефонов, информация по каждому из них указывается в отдельной строке.</t>
  </si>
  <si>
    <t>Адрес официального сайта органа регулирования тарифов в сети "Интернет"</t>
  </si>
  <si>
    <t>Указывается адрес официального сайта в сети "Интернет". В случае отсутствия официального сайта в сети "Интернет" указывается "Отсутствует".</t>
  </si>
  <si>
    <t>Адрес электронной почты</t>
  </si>
  <si>
    <t>Указывается при наличии.</t>
  </si>
  <si>
    <t>Наименование организации</t>
  </si>
  <si>
    <t>ОГРН (ОГРНИП)</t>
  </si>
  <si>
    <t>Добавить организацию</t>
  </si>
  <si>
    <t>дата</t>
  </si>
  <si>
    <t>время</t>
  </si>
  <si>
    <t>место</t>
  </si>
  <si>
    <t>Добавить заседание</t>
  </si>
  <si>
    <t>Наименование органа тарифного регулирования</t>
  </si>
  <si>
    <t>Заседание правления (коллегии) органа тарифного регулирования, на котором планируется рассмотрение дел об об утверждении предельного уровня цены на тепловую энергию (мощность)</t>
  </si>
  <si>
    <t>Принятые органом тарифного регулирования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t>
  </si>
  <si>
    <t>Добавить должностное лицо</t>
  </si>
  <si>
    <t>Данные об организации, в отношении которой рассмотрено дело об административном правонарушении (общая информация о регулируемой организации и наименование должности)</t>
  </si>
  <si>
    <t xml:space="preserve">Наименование должности лица, в отношении которого рассмотрено дело об административном правонарушении </t>
  </si>
  <si>
    <t>Краткое описание нарушения</t>
  </si>
  <si>
    <t>Результат рассмотрения дела об административном правонарушении</t>
  </si>
  <si>
    <t>Наименование регулируемой организации</t>
  </si>
  <si>
    <t>В поле "Субъект Российской Федерации" указывается наименование субъекта Российской Федерации._x000d_
В поле "Наименование организации" указывается наименование юридического лица согласно уставу организации_x000d_
В поле "ИНН" указывается идентификационный номер налогоплательщика._x000d_
В поле "Краткое описание нарушения" указывается краткое описание нарушения с указанием статьи Кодекса Российской Федерации об административных правонарушениях._x000d_
В поле "Результат рассмотрения дела об административном правонарушении" указывается результат рассмотрения дела об административном правонарушении (с указанием вида административного наказания).</t>
  </si>
  <si>
    <r>
      <t xml:space="preserve">Информация о предоставлении электронного документа в исполнительный орган субъекта Российской Федерации в области государственного регулирования цен (тарифов) </t>
    </r>
    <r>
      <rPr>
        <vertAlign val="superscript"/>
        <sz val="9"/>
        <rFont val="Tahoma"/>
        <family val="2"/>
        <charset val="204"/>
      </rPr>
      <t>2</t>
    </r>
  </si>
  <si>
    <t>Данные электронного документа, подписанного усиленной квалифицированной электронной подписью уполномоченного представителя регулируемой организации</t>
  </si>
  <si>
    <t>Название документа</t>
  </si>
  <si>
    <t>Исходящий номер</t>
  </si>
  <si>
    <t>Дата отправления</t>
  </si>
  <si>
    <t>В колонке "Дата отправления" дата указывается в виде «ДД.ММ.ГГГГ»._x000d_
В колонке «Ссылка на документ» указывается ссылка на электронный документ, подписанный усиленной квалифицированной электронной подписью уполномоченного представителя регулируемой организации, предварительно загруженный в хранилище файлов ФГИС ЕИАС.</t>
  </si>
  <si>
    <r>
      <rPr>
        <vertAlign val="superscript"/>
        <sz val="9"/>
        <rFont val="Tahoma"/>
        <family val="2"/>
        <charset val="204"/>
      </rPr>
      <t>2</t>
    </r>
    <r>
      <rPr>
        <sz val="9"/>
        <rFont val="Tahoma"/>
        <family val="2"/>
        <charset val="204"/>
      </rPr>
      <t xml:space="preserve"> Размещается информация по каждой из форм раскрытия, данные в которой относятся к муниципальному образованию, в котором отсутствует доступ в сеть «Интернет».</t>
    </r>
  </si>
  <si>
    <t>Сведения об изменениях в первоначально опубликованной информации*</t>
  </si>
  <si>
    <t>Сведения</t>
  </si>
  <si>
    <t>Добавить</t>
  </si>
  <si>
    <t>* Лист заполняется в случае, если на Титульном листе в поле "Тип отчета" выбрано значение «Изменения в раскрытой ранее информации».</t>
  </si>
  <si>
    <t>Комментарии</t>
  </si>
  <si>
    <t>Результат проверки</t>
  </si>
  <si>
    <t>Ссылка</t>
  </si>
  <si>
    <t>Причина</t>
  </si>
  <si>
    <t>Статус</t>
  </si>
  <si>
    <t>et_CHANGE_INFO</t>
  </si>
  <si>
    <t>et_Comm</t>
  </si>
  <si>
    <t>et_TERRITORY_AREA</t>
  </si>
  <si>
    <t>et_TERRITORY_MO</t>
  </si>
  <si>
    <t>et_DIFFERENTIATION_VD</t>
  </si>
  <si>
    <t>et_DIFFERENTIATION_AREA</t>
  </si>
  <si>
    <t>et_DIFFERENTIATION_SYSTEM</t>
  </si>
  <si>
    <t>et_ORG_INFO_1</t>
  </si>
  <si>
    <t>et_ORG_INFO_2</t>
  </si>
  <si>
    <t>et_ORG_INFO_3</t>
  </si>
  <si>
    <t>et_ORG_TERRITORY_MO</t>
  </si>
  <si>
    <t>et_ORG_VD</t>
  </si>
  <si>
    <t>et_ED</t>
  </si>
  <si>
    <t>et_TERMS</t>
  </si>
  <si>
    <t>et_IP_MAIN</t>
  </si>
  <si>
    <t>ip_3</t>
  </si>
  <si>
    <t>Добавить реквизиты</t>
  </si>
  <si>
    <t>et_IP_MAIN_PROPERTY</t>
  </si>
  <si>
    <t>et_IP_DETAILED</t>
  </si>
  <si>
    <t>Добавить мероприятие</t>
  </si>
  <si>
    <t>et_IP_DETAILED_OBJECT</t>
  </si>
  <si>
    <t>Добавить источник финансирования</t>
  </si>
  <si>
    <t>et_IP_DETAILED_IST_FIN</t>
  </si>
  <si>
    <t>et_IP_DETAILED_EVENT</t>
  </si>
  <si>
    <t>Добавить объект инфраструктуры</t>
  </si>
  <si>
    <t>et_QRE</t>
  </si>
  <si>
    <t>Добавить цель</t>
  </si>
  <si>
    <t>et_B_FHD20_1_NOT_HEAT</t>
  </si>
  <si>
    <t>Добавить поставщика</t>
  </si>
  <si>
    <t>et_B_FHD20_1_HEAT</t>
  </si>
  <si>
    <t>et_B_FHD20_2, _3, _4</t>
  </si>
  <si>
    <t>Итого по поставщику, в том числе</t>
  </si>
  <si>
    <t>Добавить товар/услугу</t>
  </si>
  <si>
    <t>Добавить способ</t>
  </si>
  <si>
    <t>et_DIFFERENTIATION_TARIFF(_etc)</t>
  </si>
  <si>
    <t>et_DIFFERENTIATION_TARIFF_NOT_HEAT(_etc)</t>
  </si>
  <si>
    <t>et_DIFFERENTIATION_TKO(_etc)</t>
  </si>
  <si>
    <t>Добавить класс ТКО</t>
  </si>
  <si>
    <t>Добавить вид ТКО</t>
  </si>
  <si>
    <t>Добавить технологическую особенность</t>
  </si>
  <si>
    <t>Имя листа</t>
  </si>
  <si>
    <t>Наименование, номер формы</t>
  </si>
  <si>
    <t>ТП</t>
  </si>
  <si>
    <t>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t>
  </si>
  <si>
    <t>Общая информация об организации</t>
  </si>
  <si>
    <t>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t>
  </si>
  <si>
    <t>Форма 1. Информация об организации (общая информация)</t>
  </si>
  <si>
    <t>Договоры</t>
  </si>
  <si>
    <t>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t>
  </si>
  <si>
    <t>Форма 8. Информация об условиях, на которых осуществляется оказание услуг в области обращения с твердыми коммунальными отходами</t>
  </si>
  <si>
    <t>Показатели ФХД</t>
  </si>
  <si>
    <t>Показатели ФХД &gt;20%</t>
  </si>
  <si>
    <t>Форма 11. Информация о расходах на капитальный и текущий ремонт основных средств</t>
  </si>
  <si>
    <t>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t>
  </si>
  <si>
    <t>Показатели КНЭ</t>
  </si>
  <si>
    <t>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t>
  </si>
  <si>
    <t>PRICE_x000d_
_x000d_
Т-ТЭ | &gt;=25МВт_x000d_
Т-ТЭ | ТСО_x000d_
Резерв мощности</t>
  </si>
  <si>
    <t>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t>
  </si>
  <si>
    <t>PRICE_x000d_
_x000d_
Т-ТН_x000d_
Т-передача ТЭ_x000d_
Т-передача ТН</t>
  </si>
  <si>
    <t>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</si>
  <si>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PRICE_x000d_
_x000d_
Т-гор.вода</t>
  </si>
  <si>
    <t>Форма 5. Информация об установленных тарифах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тарифах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</si>
  <si>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PRICE_x000d_
_x000d_
Т-подкл</t>
  </si>
  <si>
    <t>Форма 6.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</si>
  <si>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REQUEST_x000d_
_x000d_
Т-ТЭ | &gt;=25МВт_x000d_
Т-ТЭ | ТСО_x000d_
Резерв мощности</t>
  </si>
  <si>
    <t>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t>
  </si>
  <si>
    <t>REQUEST_x000d_
_x000d_
Т-ТН_x000d_
Т-передача ТЭ_x000d_
Т-передача ТН</t>
  </si>
  <si>
    <t>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</si>
  <si>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REQUEST_x000d_
_x000d_
Т-гор.вода</t>
  </si>
  <si>
    <t>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</si>
  <si>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REQUEST_x000d_
_x000d_
Т-подкл</t>
  </si>
  <si>
    <t>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</si>
  <si>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PRICE_x000d_
_x000d_
ХВС. Т-пит_x000d_
ХВС. Т-тех_x000d_
ХВС. Т-транс_x000d_
ХВС. Т-подвоз</t>
  </si>
  <si>
    <t>Форма 2. Информация_x000d_
о тарифах в сфере холодного водоснабжения на товары (услуги) организации холодного водоснабжения, подлежащих регулированию</t>
  </si>
  <si>
    <t>PRICE_x000d_
_x000d_
ХВС. Т-подкл</t>
  </si>
  <si>
    <t>Форма 3. Информация об установленных тарифах на подключение (технологическое присоединение) к централизованной системе холодного водоснабжения</t>
  </si>
  <si>
    <t>REQUEST_x000d_
_x000d_
ХВС. Т-пит_x000d_
ХВС. Т-тех_x000d_
ХВС. Т-транс_x000d_
ХВС. Т-подвоз</t>
  </si>
  <si>
    <t>Форма 13. Информация о предложении организации холодного водоснабжения об установлении расчетной величины тарифов в сфере холодного водоснабжения</t>
  </si>
  <si>
    <t>REQUEST_x000d_
_x000d_
ХВС. Т-подкл</t>
  </si>
  <si>
    <t>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t>
  </si>
  <si>
    <t>PRICE_x000d_
_x000d_
ГВС. Т-гор.вода_x000d_
ГВС. Т-транс</t>
  </si>
  <si>
    <t>Форма 2. Информация о тарифах в сфере горячего водоснабжения на товары (услуги) организации горячего водоснабжения, подлежащих регулированию</t>
  </si>
  <si>
    <t>PRICE_x000d_
_x000d_
ГВС. Т-подкл</t>
  </si>
  <si>
    <t>Форма 3. Информация об установленных тарифах на подключение (технологическое присоединение) к централизованной системе горячего водоснабжения</t>
  </si>
  <si>
    <t>REQUEST_x000d_
_x000d_
ГВС. Т-гор.вода_x000d_
ГВС. Т-транс</t>
  </si>
  <si>
    <t>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t>
  </si>
  <si>
    <t>REQUEST_x000d_
_x000d_
ГВС. Т-подкл</t>
  </si>
  <si>
    <t>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t>
  </si>
  <si>
    <t>PRICE_x000d_
_x000d_
ВО. Т-во_x000d_
ВО. Т-транс</t>
  </si>
  <si>
    <t>Форма 2. Информация о тарифах в сфере водоотведения на товары (услуги) организации водоотведения, подлежащих регулированию</t>
  </si>
  <si>
    <t>PRICE_x000d_
_x000d_
ВО. Т-подкл</t>
  </si>
  <si>
    <t>Форма 3.  Информация об установленных тарифах на подключение (технологическое присоединение) к централизованной системе водоотведения</t>
  </si>
  <si>
    <t>REQUEST_x000d_
_x000d_
ВО. Т-во_x000d_
ВО. Т-транс</t>
  </si>
  <si>
    <t>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t>
  </si>
  <si>
    <t>REQUEST_x000d_
_x000d_
ВО. Т-подкл</t>
  </si>
  <si>
    <t>Форма 14. Информация о предложении организации водоотведения расчетной величины тарифов на подключение к централизованной системе водоотведения</t>
  </si>
  <si>
    <t>Сведения о закупках</t>
  </si>
  <si>
    <t>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t>
  </si>
  <si>
    <t>Форма 9.  Информация о способах приобретения, стоимости и об объемах товаров, работ и услуг, необходимых организации для осуществления регулируемых видов деятельности</t>
  </si>
  <si>
    <t>Порядок ТП</t>
  </si>
  <si>
    <t>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t>
  </si>
  <si>
    <t>Общая информация по ВД</t>
  </si>
  <si>
    <t>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t>
  </si>
  <si>
    <t>ИП_x000d_
ИП. Детализация_x000d_
ИП. Финансовый план_x000d_
ИП. КНЭ</t>
  </si>
  <si>
    <t>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t>
  </si>
  <si>
    <t>Форма 7. Информация об инвестиционных программах и отчетах об их реализации (в части регулируемых видов деятельности)</t>
  </si>
  <si>
    <t>пункт НПА</t>
  </si>
  <si>
    <t>подпункт НПА</t>
  </si>
  <si>
    <t>состав пункта</t>
  </si>
  <si>
    <t>описание парметров</t>
  </si>
  <si>
    <t>номер пункта</t>
  </si>
  <si>
    <t>описание параметров</t>
  </si>
  <si>
    <t>описание к листу Общая информация об организации</t>
  </si>
  <si>
    <t>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t>
  </si>
  <si>
    <t>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t>
  </si>
  <si>
    <t>В случае если регулируемыми организациями оказываются услуги по горячему водоснабжению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t>
  </si>
  <si>
    <t>В случае если регулируемыми организациями оказываются услуги по водоотведению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t>
  </si>
  <si>
    <t>66</t>
  </si>
  <si>
    <t>а</t>
  </si>
  <si>
    <t>Количество поданных заявок</t>
  </si>
  <si>
    <t xml:space="preserve">Количество поданных заявлений </t>
  </si>
  <si>
    <t>Указывается количество поданных заявок на подключение (технологическое присоединение) к системе теплоснабжения в течение отчетного квартала.</t>
  </si>
  <si>
    <t>б</t>
  </si>
  <si>
    <t>Количество рассмотренных заявок</t>
  </si>
  <si>
    <t xml:space="preserve">Количество исполненных заявлений </t>
  </si>
  <si>
    <t>Указывается количество исполненных заявок на подключение (технологическое присоединение) к системе теплоснабжения в течение отчетного квартала.</t>
  </si>
  <si>
    <t>в</t>
  </si>
  <si>
    <t>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t>
  </si>
  <si>
    <t>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t>
  </si>
  <si>
    <t>Указывается количество заявок с решением об отказе в течение отчетного квартала.</t>
  </si>
  <si>
    <t>Причины отказа в заключении договора о подключении (технологическом присоединении) к системе теплоснабжения</t>
  </si>
  <si>
    <t>Указывается текстовое описание причин принятия решений._x000d_
Не заполняется в случае, если решения об отказе в течение отчетного периода не принимались.</t>
  </si>
  <si>
    <t>г</t>
  </si>
  <si>
    <t>Резерв мощности источников тепловой энергии, входящих в систему теплоснабжения, в течение одного квартала, в том числе:</t>
  </si>
  <si>
    <t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t>
  </si>
  <si>
    <t>Выручка от регулируемого вида деятельности с распределением по видам деятельности</t>
  </si>
  <si>
    <t>Выручка от регулируемых видов деятельности в сфере холодного водоснабжения</t>
  </si>
  <si>
    <t>Выручка от регулируемых видов деятельности в сфере горячего водоснабжения</t>
  </si>
  <si>
    <t>Выручка от регулируемых видов деятельности в сфере водоотведения</t>
  </si>
  <si>
    <t>Указывается выручка от регулируемого вида деятельности с распределением по видам деятельности.</t>
  </si>
  <si>
    <t>Указывается выручка с распределением по видам деятельности.</t>
  </si>
  <si>
    <t>Себестоимость производимых товаров (оказываемых услуг) по регулируемому виду деятельности, включая:</t>
  </si>
  <si>
    <t>Себестоимость производимых товаров (оказываемых услуг) по регулируемым видам деятельности в сфере холодного водоснабжения, включая:</t>
  </si>
  <si>
    <t>Себестоимость производимых товаров (оказываемых услуг) по регулируемым видам деятельности в сфере горячего водоснабжения, включая:</t>
  </si>
  <si>
    <t>Себестоимость производимых товаров (оказываемых услуг) по регулируемым видам деятельности в сфере водоотведения, включая:</t>
  </si>
  <si>
    <t>Указывается суммарная себестоимость производимых товаров.</t>
  </si>
  <si>
    <t>Расходы на приобретаемую тепловую энергию (мощность), теплоноситель</t>
  </si>
  <si>
    <t>Расходы на оплату холодной воды, приобретаемой у других организаций для последующей подачи потребителям</t>
  </si>
  <si>
    <t>Расходы на приобретаемую тепловую энергию (мощность), используемую для горячего водоснабжения</t>
  </si>
  <si>
    <t>Расходы на оплату услуг по приему, транспортировке и очистке сточных вод другими организациями</t>
  </si>
  <si>
    <t>Расходы на топливо с указанием по каждому виду топлива стоимости (за единицу объема), объема и способа его приобретения, стоимости его доставки</t>
  </si>
  <si>
    <t>Указываются суммарные расходы на приобретение топлива всех видов.</t>
  </si>
  <si>
    <t>Расходы на тепловую энергию, производимую с применением собственных источников и используемую для горячего водоснабжения</t>
  </si>
  <si>
    <t>Расходы на приобретаемую холодную воду, используемую для горячего водоснабжения</t>
  </si>
  <si>
    <t>Расходы на холодную воду, получаемую с применением собственных источников водозабора (скважин) и используемую для горячего водоснабжения</t>
  </si>
  <si>
    <t>Расходы на приобретаемую электрическую энергию (мощность), используемую в технологическом процессе</t>
  </si>
  <si>
    <t>2.5.1</t>
  </si>
  <si>
    <t>Средневзвешенная стоимость 1 кВт.ч (с учетом мощности)</t>
  </si>
  <si>
    <t>2.5.2</t>
  </si>
  <si>
    <t>Объём приобретения электрической энергии</t>
  </si>
  <si>
    <t>Расходы на приобретение холодной воды, используемой в технологическом процессе</t>
  </si>
  <si>
    <t>Расходы на химические реагенты, используемые в технологическом процессе</t>
  </si>
  <si>
    <t>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t>
  </si>
  <si>
    <t>Указывается общая сумма расходов на оплату труда и отчислений на социальные нужды основного производственного персонала.</t>
  </si>
  <si>
    <t>9.1</t>
  </si>
  <si>
    <t>2.6.1</t>
  </si>
  <si>
    <t>Расходы на оплату труда основного производственного персонала</t>
  </si>
  <si>
    <t>9.2</t>
  </si>
  <si>
    <t>2.6.2</t>
  </si>
  <si>
    <t>Страховые взносы на обязательное социальное страхование, выплачиваемые из фонда оплаты труда основного производственного персонала</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</si>
  <si>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</si>
  <si>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t>
  </si>
  <si>
    <t>Указывается общая сумма расходов на оплату труда и отчислений на социальные нужды административно-управленческого персонала.</t>
  </si>
  <si>
    <t>10.1</t>
  </si>
  <si>
    <t>2.7.1</t>
  </si>
  <si>
    <t>Расходы на оплату труда административно-управленческого персонала</t>
  </si>
  <si>
    <t>Расходы на оплату труда административно-управленческого персонала, в том числе:</t>
  </si>
  <si>
    <t>10.2</t>
  </si>
  <si>
    <t>2.7.2</t>
  </si>
  <si>
    <t>Страховые взносы на обязательное социальное страхование, выплачиваемые из фонда оплаты труда административно-управленческого персонала</t>
  </si>
  <si>
    <t>Расходы на амортизацию основных средств и нематериальных активов</t>
  </si>
  <si>
    <t>11.1</t>
  </si>
  <si>
    <t>2.8.1</t>
  </si>
  <si>
    <t>Расходы на амортизацию основных средств</t>
  </si>
  <si>
    <t>11.2</t>
  </si>
  <si>
    <t>2.8.2</t>
  </si>
  <si>
    <t>Расходы на амортизацию нематериальных активов</t>
  </si>
  <si>
    <t>Расходы на аренду имущества, используемого для осуществления регулируемого вида деятельности</t>
  </si>
  <si>
    <t>Расходы на аренду имущества, используемого для осуществления регулируемых видов деятельности в сфере холодного водоснабжения</t>
  </si>
  <si>
    <t>Расходы на аренду имущества, используемого для осуществления регулируемых видов деятельности в сфере горячего водоснабжения</t>
  </si>
  <si>
    <t>Расходы на аренду имущества, используемого для осуществления регулируемых видов деятельности в сфере водоотведения</t>
  </si>
  <si>
    <t>2.10</t>
  </si>
  <si>
    <t>Общепроизводственные расходы, в том числе:</t>
  </si>
  <si>
    <t>Указывается общая сумма общепроизводственных расходов.</t>
  </si>
  <si>
    <t>13.1</t>
  </si>
  <si>
    <t>2.10.1</t>
  </si>
  <si>
    <t>Расходы на текущий ремонт</t>
  </si>
  <si>
    <t>Указываются расходы на текущий ремонт, отнесенные к общепроизводственным расходам.</t>
  </si>
  <si>
    <t>13.2</t>
  </si>
  <si>
    <t>2.10.2</t>
  </si>
  <si>
    <t>Расходы на капитальный ремонт</t>
  </si>
  <si>
    <t>Указываются расходы на капитальный ремонт, отнесенные к общепроизводственным расходам.</t>
  </si>
  <si>
    <t>2.11</t>
  </si>
  <si>
    <t>Общехозяйственные расходы, в том числе:</t>
  </si>
  <si>
    <t>Указывается общая сумма общехозяйственных расходов.</t>
  </si>
  <si>
    <t>14.1</t>
  </si>
  <si>
    <t>2.11.1</t>
  </si>
  <si>
    <t>2.9.1</t>
  </si>
  <si>
    <t>Указываются расходы на текущий ремонт, отнесенные к общехозяйственным расходам.</t>
  </si>
  <si>
    <t>14.2</t>
  </si>
  <si>
    <t>2.11.2</t>
  </si>
  <si>
    <t>2.9.2</t>
  </si>
  <si>
    <t>Указываются расходы на капитальный ремонт, отнесенные к общехозяйственным расходам.</t>
  </si>
  <si>
    <t>2.12</t>
  </si>
  <si>
    <t>Расходы на капитальный и текущий ремонт основных средств</t>
  </si>
  <si>
    <t>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</si>
  <si>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</si>
  <si>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15.1</t>
  </si>
  <si>
    <t>2.12.1</t>
  </si>
  <si>
    <t>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t>
  </si>
  <si>
    <t>2.13</t>
  </si>
  <si>
    <t xml:space="preserve">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t>
  </si>
  <si>
    <t>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t>
  </si>
  <si>
    <t>16.1</t>
  </si>
  <si>
    <t>2.13.1</t>
  </si>
  <si>
    <t>2.14</t>
  </si>
  <si>
    <t>Прочие расходы, которые подлежат отнесению на регулируемые виды деятельности в соответствии с законодательством Российской Федерации</t>
  </si>
  <si>
    <t>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t>
  </si>
  <si>
    <t>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t>
  </si>
  <si>
    <t>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t>
  </si>
  <si>
    <t>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t>
  </si>
  <si>
    <t>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t>
  </si>
  <si>
    <t>д</t>
  </si>
  <si>
    <t>Валовая прибыль (убытки) от реализации товаров и оказания услуг по регулируемому виду деятельности</t>
  </si>
  <si>
    <t>Чистая прибыль, полученная от регулируемого вида деятельности, в том числе:</t>
  </si>
  <si>
    <t>Чистая прибыль, полученная от регулируемого вида деятельности в сфере холодного водоснабжения, в том числе:</t>
  </si>
  <si>
    <t>Чистая прибыль, полученная от регулируемого вида деятельности в сфере горячего водоснабжения, в том числе:</t>
  </si>
  <si>
    <t>Чистая прибыль, полученная от регулируемого вида деятельности в сфере водоотведения, в том числе:</t>
  </si>
  <si>
    <t>Размер расходования чистой прибыли на финансирование мероприятий, предусмотренных инвестиционной программой регулируемой организации</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</si>
  <si>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</si>
  <si>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и вывода из эксплуатации.</t>
  </si>
  <si>
    <t>Изменение стоимости основных фондов за счет их ввода в эксплуатацию</t>
  </si>
  <si>
    <t>5.1.2</t>
  </si>
  <si>
    <t>Изменение стоимости основных фондов за счет их вывода в эксплуатацию</t>
  </si>
  <si>
    <t>Изменение стоимости основных фондов за счет их переоценки</t>
  </si>
  <si>
    <t>Валовая прибыль (убытки) от продажи товаров и услуг по регулируемым видам деятельности в сфере холодного водоснабжения</t>
  </si>
  <si>
    <t>Валовая прибыль (убытки) от продажи товаров и услуг по регулируемым видам деятельности в сфере горячего водоснабжения</t>
  </si>
  <si>
    <t>Валовая прибыль (убытки) от продажи товаров и услуг по регулируемым видам деятельности в сфере водоотведения</t>
  </si>
  <si>
    <t>е</t>
  </si>
  <si>
    <t>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</si>
  <si>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</si>
  <si>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t>
  </si>
  <si>
    <t>ж</t>
  </si>
  <si>
    <t>Объём поднятой воды</t>
  </si>
  <si>
    <t>з</t>
  </si>
  <si>
    <t>Объём покупной воды</t>
  </si>
  <si>
    <t>и</t>
  </si>
  <si>
    <t>Объём воды, пропущенной через очистные сооружения</t>
  </si>
  <si>
    <t>к</t>
  </si>
  <si>
    <t>Объём отпущенной потребителям воды, в том числе:</t>
  </si>
  <si>
    <t>Указывается общий объем отпущенной потребителям воды.</t>
  </si>
  <si>
    <t>Объём отпущенной потребителям воды, определенный по приборам учета</t>
  </si>
  <si>
    <t>Объём отпущенной потребителям воды, определенный расчетным способом</t>
  </si>
  <si>
    <t>10.2.1</t>
  </si>
  <si>
    <t>Объём отпущенной потребителям воды, определенный по нормативам потребления коммунальных услуг</t>
  </si>
  <si>
    <t>10.2.2</t>
  </si>
  <si>
    <t xml:space="preserve">Объём отпущенной потребителям воды, определенный по нормативам потребления коммунальных ресурсов </t>
  </si>
  <si>
    <t>л</t>
  </si>
  <si>
    <t>Потери воды в сетях</t>
  </si>
  <si>
    <t>Объём приобретаемой холодной воды, используемой для горячего водоснабжения</t>
  </si>
  <si>
    <t>Объём холодной воды, получаемой с применением собственных источников водозабора (скважин) и используемой для горячего водоснабжения</t>
  </si>
  <si>
    <t>Объём приобретаемой тепловой энергии (мощности), используемой для горячего водоснабжения</t>
  </si>
  <si>
    <t>Объём тепловой энергии, производимой с применением собственных источников и используемой для горячего водоснабжения</t>
  </si>
  <si>
    <t>Потери горячей воды в сетях (процентов)</t>
  </si>
  <si>
    <t>Объём сточных вод, принятых от потребителей</t>
  </si>
  <si>
    <t>Объём сточных вод, принятых от других регулируемых организаций, осуществляющих водоотведение и (или) очистку сточных вод</t>
  </si>
  <si>
    <t>Объём сточных вод, пропущенных через очистные сооружения</t>
  </si>
  <si>
    <t>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t>
  </si>
  <si>
    <t>Тепловая нагрузка по договорам, заключенным в рамках осуществления регулируемых видов деятельности</t>
  </si>
  <si>
    <t>Регулируемыми организациями указывается информация по договорам, заключенным в рамках осуществления регулируемых видов деятельности</t>
  </si>
  <si>
    <t>Объем вырабатываемой регулируемой организацией тепловой энергии в рамках осуществления регулируемых видов деятельности</t>
  </si>
  <si>
    <t>Регулируемыми организациями указывается информация тепловой энергии, выработанной в рамках осуществления регулируемых видов деятельности.</t>
  </si>
  <si>
    <t>Объем приобретаемой регулируемой организацией тепловой энергии в рамках осуществления регулируемых видов деятельности</t>
  </si>
  <si>
    <t>Информация указывается только едиными теплоснабжающими организациями.</t>
  </si>
  <si>
    <t>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t>
  </si>
  <si>
    <t>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</si>
  <si>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 xml:space="preserve">По приборам учёта </t>
  </si>
  <si>
    <t>10.1.1</t>
  </si>
  <si>
    <t>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t>
  </si>
  <si>
    <t>Расчётным путём</t>
  </si>
  <si>
    <t>10.3</t>
  </si>
  <si>
    <t>По нормативам потребления коммунальных услуг и нормативам потребления коммунальных ресурсов</t>
  </si>
  <si>
    <t>м</t>
  </si>
  <si>
    <t>Нормативы технологических потерь при передаче тепловой энергии, теплоносителя по тепловым сетям, утвержденные уполномоченным органом</t>
  </si>
  <si>
    <t>н</t>
  </si>
  <si>
    <t>о</t>
  </si>
  <si>
    <t>п</t>
  </si>
  <si>
    <t>Удельный расход электрической энергии на подачу воды в сеть</t>
  </si>
  <si>
    <t>Расход воды на собственные нужды, в том числе:</t>
  </si>
  <si>
    <t>Указывается доля общего расхода воды на собственные нужны от объема отпуска воды потребителям.</t>
  </si>
  <si>
    <t>Расход воды на хозяйственно-бытовые нужды</t>
  </si>
  <si>
    <t>Указывается доля расхода воды на хозяйственно-бытовые нужны от объема отпуска воды потребителям.</t>
  </si>
  <si>
    <t>Показатель использования производственных объектов (по объему перекачки), в том числе:</t>
  </si>
  <si>
    <t>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t>
  </si>
  <si>
    <t>р</t>
  </si>
  <si>
    <t>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</si>
  <si>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</si>
  <si>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t>
  </si>
  <si>
    <t>т</t>
  </si>
  <si>
    <t>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</si>
  <si>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Регулируемыми организациями указывается информация с по договорам, заключенным в рамках осуществления регулируемой деятельности.</t>
  </si>
  <si>
    <t>у</t>
  </si>
  <si>
    <t>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</si>
  <si>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ф</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</si>
  <si>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t>
  </si>
  <si>
    <t>19.1</t>
  </si>
  <si>
    <t>Информация о показателях физического износа объектов теплоснабжения</t>
  </si>
  <si>
    <t>19.2</t>
  </si>
  <si>
    <t>Информация о показателях энергетической эффективности объектов теплоснабжения</t>
  </si>
  <si>
    <t>27/44</t>
  </si>
  <si>
    <t>68</t>
  </si>
  <si>
    <t>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t>
  </si>
  <si>
    <t>Сведения об условиях публичных договоров на оказание регулируемых услуг в области обращения с твердыми коммунальными отходами</t>
  </si>
  <si>
    <t>Форма 4.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  &lt;1&gt;</t>
  </si>
  <si>
    <t>Период действия тарифа</t>
  </si>
  <si>
    <t>Добавить наименование системы теплоснабжения</t>
  </si>
  <si>
    <t>pt_vtar_3</t>
  </si>
  <si>
    <t xml:space="preserve">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регулирования тарифов, принявшего решение об утверждении тарифа, дата и номер документа об утверждении тарифа, источник официального опубликования решения._x000d_
</t>
  </si>
  <si>
    <t>По данной форме раскрывается в том числе информация об индикативном предельном уровне цены на тепловую энергию (мощность), которые определены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в частях 12.1 – 12.4 статьи 10 Федерального закона от 27.07.2010 № 190-ФЗ «О теплоснабжении» (далее – Федеральный закон № 190-ФЗ), теплоснабжающей организации, теплосетевой организации в ценовых зонах теплоснабжения.</t>
  </si>
  <si>
    <t>Цвет</t>
  </si>
  <si>
    <t>Раздел</t>
  </si>
  <si>
    <t>доп.листы</t>
  </si>
  <si>
    <t>готовность</t>
  </si>
  <si>
    <t>ИП</t>
  </si>
  <si>
    <t>REGION_ID</t>
  </si>
  <si>
    <t>REGION_NAME</t>
  </si>
  <si>
    <t>RST_ORG_ID</t>
  </si>
  <si>
    <t>ORG_NAME</t>
  </si>
  <si>
    <t>INN_NAME</t>
  </si>
  <si>
    <t>KPP_NAME</t>
  </si>
  <si>
    <t>ORG_START_DATE</t>
  </si>
  <si>
    <t>ORG_END_DATE</t>
  </si>
  <si>
    <t>SPHERE</t>
  </si>
  <si>
    <t>2622</t>
  </si>
  <si>
    <t>26355055</t>
  </si>
  <si>
    <t>АО "Агрокомбинат "Тепличный"</t>
  </si>
  <si>
    <t>2312036895</t>
  </si>
  <si>
    <t>231201001</t>
  </si>
  <si>
    <t>03-02-2003 00:00:00</t>
  </si>
  <si>
    <t>26538211</t>
  </si>
  <si>
    <t>АО "Александрия"</t>
  </si>
  <si>
    <t>2309009595</t>
  </si>
  <si>
    <t>230901001</t>
  </si>
  <si>
    <t>26468799</t>
  </si>
  <si>
    <t>АО "Березанское ПЖКХ"</t>
  </si>
  <si>
    <t>2328017200</t>
  </si>
  <si>
    <t>232801001</t>
  </si>
  <si>
    <t>12-05-2006 00:00:00</t>
  </si>
  <si>
    <t>27581637</t>
  </si>
  <si>
    <t>АО "Виктория-Агро"</t>
  </si>
  <si>
    <t>2334014285</t>
  </si>
  <si>
    <t>233401001</t>
  </si>
  <si>
    <t>13-03-1998 00:00:00</t>
  </si>
  <si>
    <t>28463019</t>
  </si>
  <si>
    <t>АО "Волна Резорт энд СПА"</t>
  </si>
  <si>
    <t>2317011051</t>
  </si>
  <si>
    <t>231701001</t>
  </si>
  <si>
    <t>28-12-1993 00:00:00</t>
  </si>
  <si>
    <t>28796046</t>
  </si>
  <si>
    <t>АО "ГТ Энерго"</t>
  </si>
  <si>
    <t>7703806647</t>
  </si>
  <si>
    <t>772801001</t>
  </si>
  <si>
    <t>30335229</t>
  </si>
  <si>
    <t>АО "ГУ ЖКХ"</t>
  </si>
  <si>
    <t>5116000922</t>
  </si>
  <si>
    <t>770401001</t>
  </si>
  <si>
    <t>26527846</t>
  </si>
  <si>
    <t>АО "Гулькевичирайгаз"</t>
  </si>
  <si>
    <t>2329004965</t>
  </si>
  <si>
    <t>232901001</t>
  </si>
  <si>
    <t>28146860</t>
  </si>
  <si>
    <t>АО "Интер РАО - Электрогенерация"</t>
  </si>
  <si>
    <t>7704784450</t>
  </si>
  <si>
    <t>26355019</t>
  </si>
  <si>
    <t>АО "Компания Импульс "</t>
  </si>
  <si>
    <t>2311015116</t>
  </si>
  <si>
    <t>231001001</t>
  </si>
  <si>
    <t>26383230</t>
  </si>
  <si>
    <t>АО "Краснодаргоргаз"</t>
  </si>
  <si>
    <t>2309029802</t>
  </si>
  <si>
    <t>230750001</t>
  </si>
  <si>
    <t>26355053</t>
  </si>
  <si>
    <t>АО "Краснодарский приборный завод "Каскад"</t>
  </si>
  <si>
    <t>2311085593</t>
  </si>
  <si>
    <t>26518197</t>
  </si>
  <si>
    <t>АО "Краснодартеплосеть"</t>
  </si>
  <si>
    <t>2312122495</t>
  </si>
  <si>
    <t>230801001</t>
  </si>
  <si>
    <t>26355045</t>
  </si>
  <si>
    <t>АО "Лотос"</t>
  </si>
  <si>
    <t>2310111522</t>
  </si>
  <si>
    <t>26355062</t>
  </si>
  <si>
    <t>АО "Международный Аэропорт "Краснодар" АО "Макр"</t>
  </si>
  <si>
    <t>2312126429</t>
  </si>
  <si>
    <t>03-04-2006 00:00:00</t>
  </si>
  <si>
    <t>28061874</t>
  </si>
  <si>
    <t>АО "Международный Аэропорт Сочи" АО "МАС"</t>
  </si>
  <si>
    <t>2317044843</t>
  </si>
  <si>
    <t>26792763</t>
  </si>
  <si>
    <t>АО "Мобильные ГТЭС"</t>
  </si>
  <si>
    <t>7706627050</t>
  </si>
  <si>
    <t>231532001</t>
  </si>
  <si>
    <t>26528286</t>
  </si>
  <si>
    <t>АО "Мясокомбинат "Тихорецкий"</t>
  </si>
  <si>
    <t>2321003688</t>
  </si>
  <si>
    <t>232101001</t>
  </si>
  <si>
    <t>23-06-2010 00:00:00</t>
  </si>
  <si>
    <t>26319795</t>
  </si>
  <si>
    <t>АО "Нефтегазтехнология-Энергия"</t>
  </si>
  <si>
    <t>2349017673</t>
  </si>
  <si>
    <t>234901001</t>
  </si>
  <si>
    <t>26355079</t>
  </si>
  <si>
    <t>АО "Новорослесэкспорт"</t>
  </si>
  <si>
    <t>2315014794</t>
  </si>
  <si>
    <t>231501001</t>
  </si>
  <si>
    <t>26318583</t>
  </si>
  <si>
    <t>АО "Новороссийский судоремонтный завод"</t>
  </si>
  <si>
    <t>2315007476</t>
  </si>
  <si>
    <t>26491555</t>
  </si>
  <si>
    <t>АО "Пластформ"</t>
  </si>
  <si>
    <t>2302012743</t>
  </si>
  <si>
    <t>230201001</t>
  </si>
  <si>
    <t>31280800</t>
  </si>
  <si>
    <t>АО "Племенной форелеводческий завод "Адлер"</t>
  </si>
  <si>
    <t>2367006890</t>
  </si>
  <si>
    <t>236701001</t>
  </si>
  <si>
    <t>14-01-2019 00:00:00</t>
  </si>
  <si>
    <t>26527827</t>
  </si>
  <si>
    <t>АО "Племзавод Гулькевичский"</t>
  </si>
  <si>
    <t>2329003841</t>
  </si>
  <si>
    <t>20-06-2002 00:00:00</t>
  </si>
  <si>
    <t>26355156</t>
  </si>
  <si>
    <t>АО "Предприятие "Усть-Лабинскрайгаз"</t>
  </si>
  <si>
    <t>2356036532</t>
  </si>
  <si>
    <t>235601001</t>
  </si>
  <si>
    <t>26355077</t>
  </si>
  <si>
    <t>АО "Прибой"</t>
  </si>
  <si>
    <t>2315012170</t>
  </si>
  <si>
    <t>26318579</t>
  </si>
  <si>
    <t>АО "РАМО-М" (филиал "КВЭП" АО "РАМО-М")</t>
  </si>
  <si>
    <t>7719113976</t>
  </si>
  <si>
    <t>231143001</t>
  </si>
  <si>
    <t>28795169</t>
  </si>
  <si>
    <t>АО "РТСК"</t>
  </si>
  <si>
    <t>2310159122</t>
  </si>
  <si>
    <t>30837540</t>
  </si>
  <si>
    <t>АО "Санаторий "Кудепста"</t>
  </si>
  <si>
    <t>2319004652</t>
  </si>
  <si>
    <t>231901001</t>
  </si>
  <si>
    <t>03-03-1993 00:00:00</t>
  </si>
  <si>
    <t>26355155</t>
  </si>
  <si>
    <t>АО "Сахарный завод "Свобода"</t>
  </si>
  <si>
    <t>2356030749</t>
  </si>
  <si>
    <t>30923635</t>
  </si>
  <si>
    <t>АО "Сочинский хлебокомбинат"</t>
  </si>
  <si>
    <t>2320145827</t>
  </si>
  <si>
    <t>232001001</t>
  </si>
  <si>
    <t>28830246</t>
  </si>
  <si>
    <t>АО "ТНТ</t>
  </si>
  <si>
    <t>2315143060</t>
  </si>
  <si>
    <t>168150001</t>
  </si>
  <si>
    <t>04-04-2008 00:00:00</t>
  </si>
  <si>
    <t>30990775</t>
  </si>
  <si>
    <t>АО "Тандер"</t>
  </si>
  <si>
    <t>2310031475</t>
  </si>
  <si>
    <t>26508107</t>
  </si>
  <si>
    <t>АО "Тепловые сети"</t>
  </si>
  <si>
    <t>2346013656</t>
  </si>
  <si>
    <t>234601001</t>
  </si>
  <si>
    <t>26518989</t>
  </si>
  <si>
    <t>АО "Теплосервис"</t>
  </si>
  <si>
    <t>2335015394</t>
  </si>
  <si>
    <t>233501001</t>
  </si>
  <si>
    <t>31-05-2010 00:00:00</t>
  </si>
  <si>
    <t>26528443</t>
  </si>
  <si>
    <t>АО "Теплоэнерго"</t>
  </si>
  <si>
    <t>2301080564</t>
  </si>
  <si>
    <t>230101001</t>
  </si>
  <si>
    <t>26491445</t>
  </si>
  <si>
    <t>АО "Туапсинский морской торговый порт"</t>
  </si>
  <si>
    <t>2322001997</t>
  </si>
  <si>
    <t>236501001</t>
  </si>
  <si>
    <t>31442033</t>
  </si>
  <si>
    <t>АО "Универсал"</t>
  </si>
  <si>
    <t>2320200972</t>
  </si>
  <si>
    <t>09-09-2020 00:00:00</t>
  </si>
  <si>
    <t>26318587</t>
  </si>
  <si>
    <t>АО "Успенский сахарник"</t>
  </si>
  <si>
    <t>2357005329</t>
  </si>
  <si>
    <t>235701001</t>
  </si>
  <si>
    <t>26516100</t>
  </si>
  <si>
    <t>АО "Усть-Лабинсктеплоэнерго"</t>
  </si>
  <si>
    <t>2356038360</t>
  </si>
  <si>
    <t>26472903</t>
  </si>
  <si>
    <t>АО "Черномортранснефть" ПК "Шесхарис"</t>
  </si>
  <si>
    <t>2315072242</t>
  </si>
  <si>
    <t>27660539</t>
  </si>
  <si>
    <t>АО «Интер РАО-Электрогенерация» филиал «Джубгинская ТЭС»</t>
  </si>
  <si>
    <t>236543001</t>
  </si>
  <si>
    <t>27897001</t>
  </si>
  <si>
    <t>АО МПМК "Краснодарская - 1"</t>
  </si>
  <si>
    <t>2309001518</t>
  </si>
  <si>
    <t>18-02-1993 00:00:00</t>
  </si>
  <si>
    <t>26355054</t>
  </si>
  <si>
    <t>АО СЗ «ОБД»</t>
  </si>
  <si>
    <t>2312016730</t>
  </si>
  <si>
    <t>26473871</t>
  </si>
  <si>
    <t>АО СЗ АПСК "Гулькевичский"</t>
  </si>
  <si>
    <t>2329007878</t>
  </si>
  <si>
    <t>26468785</t>
  </si>
  <si>
    <t>АО фирма "Агрокомплекс"</t>
  </si>
  <si>
    <t>2328000083</t>
  </si>
  <si>
    <t>14-10-2002 00:00:00</t>
  </si>
  <si>
    <t>31625572</t>
  </si>
  <si>
    <t>Апшеронский филиал ООО "ТТР"</t>
  </si>
  <si>
    <t>2310221733</t>
  </si>
  <si>
    <t>18-10-2022 00:00:00</t>
  </si>
  <si>
    <t>31689847</t>
  </si>
  <si>
    <t>236843001</t>
  </si>
  <si>
    <t>28-10-2020 00:00:00</t>
  </si>
  <si>
    <t>30876376</t>
  </si>
  <si>
    <t>Армавирский Филиал ООО "Газпром теплоэнерго Краснодар"</t>
  </si>
  <si>
    <t>2308206128</t>
  </si>
  <si>
    <t>237243001</t>
  </si>
  <si>
    <t>30-11-2016 00:00:00</t>
  </si>
  <si>
    <t>26355104</t>
  </si>
  <si>
    <t>Брюховецкий филиал ЗАО «СК «Ленинградский»</t>
  </si>
  <si>
    <t>2341015890</t>
  </si>
  <si>
    <t>232743001</t>
  </si>
  <si>
    <t>17-10-2012 00:00:00</t>
  </si>
  <si>
    <t>27590945</t>
  </si>
  <si>
    <t>Вагонный участок Адлер - структурное подразделение Северо-Кавказского филиала АО "ФПК"</t>
  </si>
  <si>
    <t>7708709686</t>
  </si>
  <si>
    <t>231745001</t>
  </si>
  <si>
    <t>26760597</t>
  </si>
  <si>
    <t>Вагонный участок Новороссийск - структурное подразделение Северо - Кавказского филиала АО "ФПК"</t>
  </si>
  <si>
    <t>231545001</t>
  </si>
  <si>
    <t>28507902</t>
  </si>
  <si>
    <t>ГБПОУ КК "БАК", Брюховецкий район</t>
  </si>
  <si>
    <t>2327001327</t>
  </si>
  <si>
    <t>232701001</t>
  </si>
  <si>
    <t>26-12-2002 00:00:00</t>
  </si>
  <si>
    <t>27579156</t>
  </si>
  <si>
    <t>ГБУЗ "Детская краевая клиническая больница" ДЗ КК</t>
  </si>
  <si>
    <t>2309039134</t>
  </si>
  <si>
    <t>230000000</t>
  </si>
  <si>
    <t>01-09-2011 00:00:00</t>
  </si>
  <si>
    <t>31307256</t>
  </si>
  <si>
    <t>ГБУЗ "СПБ № 2"</t>
  </si>
  <si>
    <t>2323011726</t>
  </si>
  <si>
    <t>232301001</t>
  </si>
  <si>
    <t>04-10-2012 00:00:00</t>
  </si>
  <si>
    <t>28828134</t>
  </si>
  <si>
    <t>ГКУЗ "Лепрозорий"</t>
  </si>
  <si>
    <t>2323006733</t>
  </si>
  <si>
    <t>10-10-2002 00:00:00</t>
  </si>
  <si>
    <t>31598276</t>
  </si>
  <si>
    <t>ГУ "Санаторий "Беларусь"</t>
  </si>
  <si>
    <t>2320042317</t>
  </si>
  <si>
    <t>25-12-2002 00:00:00</t>
  </si>
  <si>
    <t>30876390</t>
  </si>
  <si>
    <t>Геленджикский Филиал ООО "Газпром теплоэнерго Краснодар"</t>
  </si>
  <si>
    <t>230443001</t>
  </si>
  <si>
    <t>26355108</t>
  </si>
  <si>
    <t>Гирейское ЗАО "Железобетон"</t>
  </si>
  <si>
    <t>2329000209</t>
  </si>
  <si>
    <t>ДЕПАРТАМЕНТ ГОСУДАРСТВЕННОГО РЕГУЛИРОВАНИЯ ТАРИФОВ КРАСНОДАРСКОГО КРАЯ</t>
  </si>
  <si>
    <t>2308085811</t>
  </si>
  <si>
    <t>31583587</t>
  </si>
  <si>
    <t>ЖСК "Царское Село"</t>
  </si>
  <si>
    <t>2311090498</t>
  </si>
  <si>
    <t>25-04-2022 00:00:00</t>
  </si>
  <si>
    <t>26355011</t>
  </si>
  <si>
    <t>ЗАО " Санаторий "Горячий Ключ"</t>
  </si>
  <si>
    <t>2305001884</t>
  </si>
  <si>
    <t>230501001</t>
  </si>
  <si>
    <t>26355084</t>
  </si>
  <si>
    <t>ЗАО "Абрау-Дюрсо"</t>
  </si>
  <si>
    <t>2315092440</t>
  </si>
  <si>
    <t>26355124</t>
  </si>
  <si>
    <t>ЗАО "КМКК"</t>
  </si>
  <si>
    <t>2335013799</t>
  </si>
  <si>
    <t>26471248</t>
  </si>
  <si>
    <t>ЗАО "Новокубанское"</t>
  </si>
  <si>
    <t>2343000056</t>
  </si>
  <si>
    <t>234301001</t>
  </si>
  <si>
    <t>26355015</t>
  </si>
  <si>
    <t>ЗАО "Санаторий Ейск"</t>
  </si>
  <si>
    <t>2306001189</t>
  </si>
  <si>
    <t>230601001</t>
  </si>
  <si>
    <t>26355148</t>
  </si>
  <si>
    <t>ЗАО "Сахарный комбинат "Тихорецкий"</t>
  </si>
  <si>
    <t>2354009290</t>
  </si>
  <si>
    <t>235401001</t>
  </si>
  <si>
    <t>15-09-2008 00:00:00</t>
  </si>
  <si>
    <t>26355143</t>
  </si>
  <si>
    <t>ЗАО "Тбилисский сахарный завод"</t>
  </si>
  <si>
    <t>2351007672</t>
  </si>
  <si>
    <t>235101001</t>
  </si>
  <si>
    <t>28221434</t>
  </si>
  <si>
    <t>ИП Гредин Е.Ю.</t>
  </si>
  <si>
    <t>231102247885</t>
  </si>
  <si>
    <t>16-08-2007 00:00:00</t>
  </si>
  <si>
    <t>28084316</t>
  </si>
  <si>
    <t>ИП Карапетян Л.К.</t>
  </si>
  <si>
    <t>231122656389</t>
  </si>
  <si>
    <t>18-05-2012 00:00:00</t>
  </si>
  <si>
    <t>31346923</t>
  </si>
  <si>
    <t>ИП Кравцов С.В.</t>
  </si>
  <si>
    <t>231509734628</t>
  </si>
  <si>
    <t>19-06-2014 00:00:00</t>
  </si>
  <si>
    <t>31653055</t>
  </si>
  <si>
    <t>ИП Шамрай В.В.</t>
  </si>
  <si>
    <t>230403277948</t>
  </si>
  <si>
    <t>03-09-2021 00:00:00</t>
  </si>
  <si>
    <t>31442630</t>
  </si>
  <si>
    <t>Индивидуальный предприниматель Соболев Алексей Михайлович</t>
  </si>
  <si>
    <t>233201344354</t>
  </si>
  <si>
    <t>21-02-2018 00:00:00</t>
  </si>
  <si>
    <t>28493735</t>
  </si>
  <si>
    <t>ККО ОГО ВФСО "Динамо"</t>
  </si>
  <si>
    <t>2310000935</t>
  </si>
  <si>
    <t>04-07-2006 00:00:00</t>
  </si>
  <si>
    <t>26383271</t>
  </si>
  <si>
    <t>Краснодарское УТТ и СТ ООО "Газпром трансгаз Краснодар"</t>
  </si>
  <si>
    <t>2308128945</t>
  </si>
  <si>
    <t>230802002</t>
  </si>
  <si>
    <t>30876458</t>
  </si>
  <si>
    <t>Кропоткинский Филиал ООО "Газпром теплоэнерго Краснодар"</t>
  </si>
  <si>
    <t>236443001</t>
  </si>
  <si>
    <t>31354308</t>
  </si>
  <si>
    <t>МБУ "РЭУ Новомихайловского городского поселения Туапсинского района"</t>
  </si>
  <si>
    <t>2365028760</t>
  </si>
  <si>
    <t>05-07-2019 00:00:00</t>
  </si>
  <si>
    <t>28049634</t>
  </si>
  <si>
    <t>МБУ "Учреждение благоустройства "Феникс"</t>
  </si>
  <si>
    <t>2364004260</t>
  </si>
  <si>
    <t>236401001</t>
  </si>
  <si>
    <t>26566036</t>
  </si>
  <si>
    <t>МКУ "Горькобалковское"</t>
  </si>
  <si>
    <t>2344014051</t>
  </si>
  <si>
    <t>234401001</t>
  </si>
  <si>
    <t>10-02-2006 00:00:00</t>
  </si>
  <si>
    <t>31445890</t>
  </si>
  <si>
    <t>МКУ "Новоберезанское хозяйственное объединение"</t>
  </si>
  <si>
    <t>2335064948</t>
  </si>
  <si>
    <t>14-03-2012 00:00:00</t>
  </si>
  <si>
    <t>31001246</t>
  </si>
  <si>
    <t>МКУ "Учреждение по обеспечению деятельности органов местного самоуправления и муниципальных учреждений Соколовского сельского поселения Гулькевичского района"</t>
  </si>
  <si>
    <t>2364009797</t>
  </si>
  <si>
    <t>09-12-2013 00:00:00</t>
  </si>
  <si>
    <t>26795664</t>
  </si>
  <si>
    <t>МООО "Мичуринское ЖКХ"</t>
  </si>
  <si>
    <t>2330040118</t>
  </si>
  <si>
    <t>233001001</t>
  </si>
  <si>
    <t>26473008</t>
  </si>
  <si>
    <t>МП "Водоканал"</t>
  </si>
  <si>
    <t>2329018887</t>
  </si>
  <si>
    <t>26470943</t>
  </si>
  <si>
    <t>МП "ЖКХ" Красноармейского района</t>
  </si>
  <si>
    <t>2336001098</t>
  </si>
  <si>
    <t>233601001</t>
  </si>
  <si>
    <t>27991850</t>
  </si>
  <si>
    <t>МУ МП "Предгорье" ст. Упорной</t>
  </si>
  <si>
    <t>2374000017</t>
  </si>
  <si>
    <t>237401001</t>
  </si>
  <si>
    <t>06-11-2012 00:00:00</t>
  </si>
  <si>
    <t>26355073</t>
  </si>
  <si>
    <t>МУ МПКХ ст.Вознесенской</t>
  </si>
  <si>
    <t>2314019278</t>
  </si>
  <si>
    <t>231401001</t>
  </si>
  <si>
    <t>26471225</t>
  </si>
  <si>
    <t>МУКП "Жилкомхоз" Костромское"</t>
  </si>
  <si>
    <t>2342016705</t>
  </si>
  <si>
    <t>234201001</t>
  </si>
  <si>
    <t>09-08-2006 00:00:00</t>
  </si>
  <si>
    <t>26355016</t>
  </si>
  <si>
    <t>МУП  "Ейские тепловые сети"</t>
  </si>
  <si>
    <t>2306009759</t>
  </si>
  <si>
    <t>26545756</t>
  </si>
  <si>
    <t>МУП "Белоглинская теплосистема"</t>
  </si>
  <si>
    <t>2326007862</t>
  </si>
  <si>
    <t>232601001</t>
  </si>
  <si>
    <t>27183657</t>
  </si>
  <si>
    <t>МУП "Выселковские коммунальные системы"</t>
  </si>
  <si>
    <t>2328000573</t>
  </si>
  <si>
    <t>24-06-2011 00:00:00</t>
  </si>
  <si>
    <t>30349482</t>
  </si>
  <si>
    <t>МУП "Динком "ТЕПЛО"</t>
  </si>
  <si>
    <t>2373008912</t>
  </si>
  <si>
    <t>237301001</t>
  </si>
  <si>
    <t>01-08-2015 00:00:00</t>
  </si>
  <si>
    <t>26355149</t>
  </si>
  <si>
    <t>МУП "ЖКХ Архангельского сельского поселения Тихорецкого района"</t>
  </si>
  <si>
    <t>2354009580</t>
  </si>
  <si>
    <t>26473768</t>
  </si>
  <si>
    <t>МУП "ЖКХ Небугского сельского поселения"</t>
  </si>
  <si>
    <t>2365003131</t>
  </si>
  <si>
    <t>26-05-2006 00:00:00</t>
  </si>
  <si>
    <t>27892167</t>
  </si>
  <si>
    <t>МУП "ЖКХ Тбилисского района"</t>
  </si>
  <si>
    <t>2364007045</t>
  </si>
  <si>
    <t>27-07-2012 00:00:00</t>
  </si>
  <si>
    <t>30377855</t>
  </si>
  <si>
    <t>МУП "ЖКХ Тихорецкого района"</t>
  </si>
  <si>
    <t>2360008633</t>
  </si>
  <si>
    <t>236001001</t>
  </si>
  <si>
    <t>11-12-2015 00:00:00</t>
  </si>
  <si>
    <t>30350494</t>
  </si>
  <si>
    <t>МУП "Коммунальник"</t>
  </si>
  <si>
    <t>2373006016</t>
  </si>
  <si>
    <t>13-03-2014 00:00:00</t>
  </si>
  <si>
    <t>28817209</t>
  </si>
  <si>
    <t>МУП "Коммунальщик",  Сладковское сельское поселение Лабинский район</t>
  </si>
  <si>
    <t>2374980052</t>
  </si>
  <si>
    <t>26532106</t>
  </si>
  <si>
    <t>МУП "Ленинградский Теплоцентр"</t>
  </si>
  <si>
    <t>2341014776</t>
  </si>
  <si>
    <t>234101001</t>
  </si>
  <si>
    <t>26492043</t>
  </si>
  <si>
    <t>МУП "Мостовские тепловые сети"</t>
  </si>
  <si>
    <t>2342017970</t>
  </si>
  <si>
    <t>26475790</t>
  </si>
  <si>
    <t>МУП "Новодмитриевское ЖКХ"</t>
  </si>
  <si>
    <t>2348029330</t>
  </si>
  <si>
    <t>234801001</t>
  </si>
  <si>
    <t>13-04-2009 00:00:00</t>
  </si>
  <si>
    <t>26532108</t>
  </si>
  <si>
    <t>МУП "Ресурс"</t>
  </si>
  <si>
    <t>2357006040</t>
  </si>
  <si>
    <t>19-08-2010 00:00:00</t>
  </si>
  <si>
    <t>26468858</t>
  </si>
  <si>
    <t>МУП "Родное подворье"</t>
  </si>
  <si>
    <t>2330032780</t>
  </si>
  <si>
    <t>26508493</t>
  </si>
  <si>
    <t>МУП "Сочитеплоэнерго"</t>
  </si>
  <si>
    <t>2320033802</t>
  </si>
  <si>
    <t>31521886</t>
  </si>
  <si>
    <t>МУП "ТЭК Крымского района"</t>
  </si>
  <si>
    <t>2376004271</t>
  </si>
  <si>
    <t>237601001</t>
  </si>
  <si>
    <t>16-08-2021 00:00:00</t>
  </si>
  <si>
    <t>26468913</t>
  </si>
  <si>
    <t>МУП "Тепловодокомплекс Темижбекский"</t>
  </si>
  <si>
    <t>2332017202</t>
  </si>
  <si>
    <t>233201001</t>
  </si>
  <si>
    <t>16-11-2006 00:00:00</t>
  </si>
  <si>
    <t>26489059</t>
  </si>
  <si>
    <t>МУП "Тепловое хозяйство"</t>
  </si>
  <si>
    <t>2343019875</t>
  </si>
  <si>
    <t>28816743</t>
  </si>
  <si>
    <t>МУП "Тепловые сети Тбилисского района"</t>
  </si>
  <si>
    <t>2364010802</t>
  </si>
  <si>
    <t>23-07-2014 00:00:00</t>
  </si>
  <si>
    <t>30360877</t>
  </si>
  <si>
    <t>МУП "Тепловые сети", г. Горячий Ключ</t>
  </si>
  <si>
    <t>2305028942</t>
  </si>
  <si>
    <t>16-04-2014 00:00:00</t>
  </si>
  <si>
    <t>28269915</t>
  </si>
  <si>
    <t>МУП "Тепловые сети", г.Приморско-Ахтарск</t>
  </si>
  <si>
    <t>2347015590</t>
  </si>
  <si>
    <t>234701001</t>
  </si>
  <si>
    <t>17-05-2013 00:00:00</t>
  </si>
  <si>
    <t>26355008</t>
  </si>
  <si>
    <t>МУП "Тепловые сети", город- курорт Геленджик</t>
  </si>
  <si>
    <t>2304002170</t>
  </si>
  <si>
    <t>230401001</t>
  </si>
  <si>
    <t>28868089</t>
  </si>
  <si>
    <t>МУП "Теплокомплекс"</t>
  </si>
  <si>
    <t>2370003850</t>
  </si>
  <si>
    <t>237001001</t>
  </si>
  <si>
    <t>30-07-2014 00:00:00</t>
  </si>
  <si>
    <t>26532003</t>
  </si>
  <si>
    <t>МУП "Теплоэнергетик"</t>
  </si>
  <si>
    <t>2340019933</t>
  </si>
  <si>
    <t>234001001</t>
  </si>
  <si>
    <t>26507369</t>
  </si>
  <si>
    <t>МУП "Теплоэнергетик", Староминский район</t>
  </si>
  <si>
    <t>2350010979</t>
  </si>
  <si>
    <t>235001001</t>
  </si>
  <si>
    <t>26537645</t>
  </si>
  <si>
    <t>МУП "Универсал"</t>
  </si>
  <si>
    <t>2323026458</t>
  </si>
  <si>
    <t>22-02-2007 00:00:00</t>
  </si>
  <si>
    <t>31737778</t>
  </si>
  <si>
    <t>МУП "ЧТК"</t>
  </si>
  <si>
    <t>2370014386</t>
  </si>
  <si>
    <t>14-12-2023 00:00:00</t>
  </si>
  <si>
    <t>26468864</t>
  </si>
  <si>
    <t>МУП "ЮГ"</t>
  </si>
  <si>
    <t>2330022454</t>
  </si>
  <si>
    <t>26531974</t>
  </si>
  <si>
    <t>МУП «Тепловые сети», Крыловский район</t>
  </si>
  <si>
    <t>2338011479</t>
  </si>
  <si>
    <t>233801001</t>
  </si>
  <si>
    <t>26518022</t>
  </si>
  <si>
    <t>МУП «Теплоэнерго» МО ЩР</t>
  </si>
  <si>
    <t>2361000740</t>
  </si>
  <si>
    <t>236101001</t>
  </si>
  <si>
    <t>27903086</t>
  </si>
  <si>
    <t>МУП БГП БР "Белореченские тепловые сети"</t>
  </si>
  <si>
    <t>2368003595</t>
  </si>
  <si>
    <t>236801001</t>
  </si>
  <si>
    <t>24-05-2012 00:00:00</t>
  </si>
  <si>
    <t>26468852</t>
  </si>
  <si>
    <t>МУП ЖКХ Нововеличковское</t>
  </si>
  <si>
    <t>2330034763</t>
  </si>
  <si>
    <t>26516731</t>
  </si>
  <si>
    <t>МУП Каневского района "Каневские тепловые сети"</t>
  </si>
  <si>
    <t>2334022039</t>
  </si>
  <si>
    <t>31676611</t>
  </si>
  <si>
    <t>МУП Кореновского городского поселения "Тепловые сети"</t>
  </si>
  <si>
    <t>2335013407</t>
  </si>
  <si>
    <t>19-09-2002 00:00:00</t>
  </si>
  <si>
    <t>26528220</t>
  </si>
  <si>
    <t>МУП МО Курганинский район "Курганинсктеплоэнерго"</t>
  </si>
  <si>
    <t>2339017924</t>
  </si>
  <si>
    <t>233901001</t>
  </si>
  <si>
    <t>15-06-2013 00:00:00</t>
  </si>
  <si>
    <t>30849293</t>
  </si>
  <si>
    <t>МУП МО г. Сочи "Водоканал"</t>
  </si>
  <si>
    <t>2320242443</t>
  </si>
  <si>
    <t>26473338</t>
  </si>
  <si>
    <t>МУП Новоберезанского сельского поселения Кореновского района "ЖКХ"</t>
  </si>
  <si>
    <t>2335014619</t>
  </si>
  <si>
    <t>26490767</t>
  </si>
  <si>
    <t>МУП ОР КК "Теплоэнергия"</t>
  </si>
  <si>
    <t>2345011744</t>
  </si>
  <si>
    <t>234501001</t>
  </si>
  <si>
    <t>31193574</t>
  </si>
  <si>
    <t>МУП РСП БР "Рязанское"</t>
  </si>
  <si>
    <t>2368010842</t>
  </si>
  <si>
    <t>11-09-2018 00:00:00</t>
  </si>
  <si>
    <t>26355118</t>
  </si>
  <si>
    <t>МУП ТВК "Кавказский"</t>
  </si>
  <si>
    <t>2332017210</t>
  </si>
  <si>
    <t>17-11-2006 00:00:00</t>
  </si>
  <si>
    <t>28817197</t>
  </si>
  <si>
    <t>МУП ШСП ТР "ДорБлагоустройство"</t>
  </si>
  <si>
    <t>2365019237</t>
  </si>
  <si>
    <t>26528098</t>
  </si>
  <si>
    <t>МУП гор.Лабинска "Тепловые сети"</t>
  </si>
  <si>
    <t>2314001584</t>
  </si>
  <si>
    <t>26355051</t>
  </si>
  <si>
    <t>МУП совхоз "Прогресс"</t>
  </si>
  <si>
    <t>2311030611</t>
  </si>
  <si>
    <t>10-01-2003 00:00:00</t>
  </si>
  <si>
    <t>26355129</t>
  </si>
  <si>
    <t>МУПЖКХ "Первомайское", Ленинградский район</t>
  </si>
  <si>
    <t>2341013229</t>
  </si>
  <si>
    <t>12-07-2006 00:00:00</t>
  </si>
  <si>
    <t>31479446</t>
  </si>
  <si>
    <t>НАО "Красная поляна"</t>
  </si>
  <si>
    <t>2320102816</t>
  </si>
  <si>
    <t>02-10-2001 00:00:00</t>
  </si>
  <si>
    <t>30837945</t>
  </si>
  <si>
    <t>НАО "ТЭК"</t>
  </si>
  <si>
    <t>5321172297</t>
  </si>
  <si>
    <t>532101001</t>
  </si>
  <si>
    <t>13-11-2014 00:00:00</t>
  </si>
  <si>
    <t>26468820</t>
  </si>
  <si>
    <t>Новомалороссийское МУМП ЖКХ</t>
  </si>
  <si>
    <t>2328014400</t>
  </si>
  <si>
    <t>31523933</t>
  </si>
  <si>
    <t>Новопокровский филиал ООО "ТТР"</t>
  </si>
  <si>
    <t>236043001</t>
  </si>
  <si>
    <t>26528859</t>
  </si>
  <si>
    <t>Новороссийский ВРЗ филиал АО "ВРМ"</t>
  </si>
  <si>
    <t>7722648033</t>
  </si>
  <si>
    <t>231503001</t>
  </si>
  <si>
    <t>31708661</t>
  </si>
  <si>
    <t>Новороссийский филиал ООО "ТеплоТрансРемонт"</t>
  </si>
  <si>
    <t>231543001</t>
  </si>
  <si>
    <t>04-08-2023 00:00:00</t>
  </si>
  <si>
    <t>28821058</t>
  </si>
  <si>
    <t>ОАО  Санаторий "Зеленая роща"</t>
  </si>
  <si>
    <t>2319009266</t>
  </si>
  <si>
    <t>12-07-2001 00:00:00</t>
  </si>
  <si>
    <t>26354997</t>
  </si>
  <si>
    <t>ОАО " Аэропорт Анапа "</t>
  </si>
  <si>
    <t>2301013617</t>
  </si>
  <si>
    <t>26531540</t>
  </si>
  <si>
    <t>ОАО "81 БТРЗ"</t>
  </si>
  <si>
    <t>2302060955</t>
  </si>
  <si>
    <t>26518730</t>
  </si>
  <si>
    <t>ОАО "Армавирский завод резиновых изделий"</t>
  </si>
  <si>
    <t>2302008970</t>
  </si>
  <si>
    <t>06-07-2010 00:00:00</t>
  </si>
  <si>
    <t>26355135</t>
  </si>
  <si>
    <t>ОАО "Викор"</t>
  </si>
  <si>
    <t>2344001775</t>
  </si>
  <si>
    <t>21-08-2002 00:00:00</t>
  </si>
  <si>
    <t>27812498</t>
  </si>
  <si>
    <t>ОАО "Завод Мехпромстрой"</t>
  </si>
  <si>
    <t>2311013214</t>
  </si>
  <si>
    <t>28067723</t>
  </si>
  <si>
    <t>ОАО "Кавказ"</t>
  </si>
  <si>
    <t>2350010520</t>
  </si>
  <si>
    <t>26490081</t>
  </si>
  <si>
    <t>ОАО "Краснодарнефтегеофизика"</t>
  </si>
  <si>
    <t>2308024537</t>
  </si>
  <si>
    <t>26355132</t>
  </si>
  <si>
    <t>ОАО "Кристалл-2"</t>
  </si>
  <si>
    <t>2343000063</t>
  </si>
  <si>
    <t>26355000</t>
  </si>
  <si>
    <t>ОАО "МЖК "Армавирский"</t>
  </si>
  <si>
    <t>2302016730</t>
  </si>
  <si>
    <t>28447273</t>
  </si>
  <si>
    <t>ОАО "МЖК "Краснодарский"</t>
  </si>
  <si>
    <t>2310043294</t>
  </si>
  <si>
    <t>17-07-2002 00:00:00</t>
  </si>
  <si>
    <t>26508718</t>
  </si>
  <si>
    <t>ОАО "Нефтегазгеотерм"</t>
  </si>
  <si>
    <t>2630024131</t>
  </si>
  <si>
    <t>26355081</t>
  </si>
  <si>
    <t>ОАО "Новоросцемент"</t>
  </si>
  <si>
    <t>2315020195</t>
  </si>
  <si>
    <t>26355128</t>
  </si>
  <si>
    <t>ОАО "СЗЛ"</t>
  </si>
  <si>
    <t>2341006687</t>
  </si>
  <si>
    <t>12-09-2002 00:00:00</t>
  </si>
  <si>
    <t>28261852</t>
  </si>
  <si>
    <t>ОАО "огк-2"</t>
  </si>
  <si>
    <t>2357005826</t>
  </si>
  <si>
    <t>231743001</t>
  </si>
  <si>
    <t>28855684</t>
  </si>
  <si>
    <t>ОАО агрофирма "Нива"</t>
  </si>
  <si>
    <t>2353016432</t>
  </si>
  <si>
    <t>235301001</t>
  </si>
  <si>
    <t>29-03-1999 00:00:00</t>
  </si>
  <si>
    <t>31409425</t>
  </si>
  <si>
    <t>ООО "АЛЬПИКА"</t>
  </si>
  <si>
    <t>2320163390</t>
  </si>
  <si>
    <t>31557493</t>
  </si>
  <si>
    <t>ООО "АСУ-Сервис"</t>
  </si>
  <si>
    <t>2309067371</t>
  </si>
  <si>
    <t>28-01-2022 00:00:00</t>
  </si>
  <si>
    <t>26653523</t>
  </si>
  <si>
    <t>ООО "Агроном-эплпрод"</t>
  </si>
  <si>
    <t>2330033287</t>
  </si>
  <si>
    <t>20-01-2011 00:00:00</t>
  </si>
  <si>
    <t>31689541</t>
  </si>
  <si>
    <t>ООО "АнапаТеплоресурс"</t>
  </si>
  <si>
    <t>2301109485</t>
  </si>
  <si>
    <t>05-06-2023 00:00:00</t>
  </si>
  <si>
    <t>27683318</t>
  </si>
  <si>
    <t>ООО "Аполинария"</t>
  </si>
  <si>
    <t>2302029176</t>
  </si>
  <si>
    <t>26551826</t>
  </si>
  <si>
    <t>ООО "Афипский НПЗ"</t>
  </si>
  <si>
    <t>7704214548</t>
  </si>
  <si>
    <t>12-02-2003 00:00:00</t>
  </si>
  <si>
    <t>31498899</t>
  </si>
  <si>
    <t>ООО "Базис"</t>
  </si>
  <si>
    <t>2312153704</t>
  </si>
  <si>
    <t>01-09-2008 00:00:00</t>
  </si>
  <si>
    <t>26355106</t>
  </si>
  <si>
    <t>ООО "Брюховецкие тепловые сети"</t>
  </si>
  <si>
    <t>2327009703</t>
  </si>
  <si>
    <t>27666064</t>
  </si>
  <si>
    <t>ООО "ВЕТРОЭН-ЮГ"</t>
  </si>
  <si>
    <t>2309101992</t>
  </si>
  <si>
    <t>19-01-2024 00:00:00</t>
  </si>
  <si>
    <t>26653340</t>
  </si>
  <si>
    <t>ООО "ВИРА"</t>
  </si>
  <si>
    <t>2310146236</t>
  </si>
  <si>
    <t>27666060</t>
  </si>
  <si>
    <t>ООО "ВЭС-Мирный"</t>
  </si>
  <si>
    <t>2361005272</t>
  </si>
  <si>
    <t>31230239</t>
  </si>
  <si>
    <t>ООО "Вода-Тепло"</t>
  </si>
  <si>
    <t>2365003452</t>
  </si>
  <si>
    <t>08-06-2006 00:00:00</t>
  </si>
  <si>
    <t>31447843</t>
  </si>
  <si>
    <t>ООО "ГЭС"</t>
  </si>
  <si>
    <t>2310221236</t>
  </si>
  <si>
    <t>28-09-2020 00:00:00</t>
  </si>
  <si>
    <t>28221015</t>
  </si>
  <si>
    <t>ООО "Газпром трансгаз Краснодар" филиал Медико-санитарная часть</t>
  </si>
  <si>
    <t>230802004</t>
  </si>
  <si>
    <t>31447837</t>
  </si>
  <si>
    <t>ООО "Гидросервис"</t>
  </si>
  <si>
    <t>2365009454</t>
  </si>
  <si>
    <t>17-08-2007 00:00:00</t>
  </si>
  <si>
    <t>30894836</t>
  </si>
  <si>
    <t>ООО "Город Солнца"</t>
  </si>
  <si>
    <t>2320224042</t>
  </si>
  <si>
    <t>20-03-2017 00:00:00</t>
  </si>
  <si>
    <t>26516607</t>
  </si>
  <si>
    <t>ООО "Дунай"</t>
  </si>
  <si>
    <t>2308056962</t>
  </si>
  <si>
    <t>31680390</t>
  </si>
  <si>
    <t>ООО "ЖК "Молодежный"</t>
  </si>
  <si>
    <t>2315184556</t>
  </si>
  <si>
    <t>29-11-2013 00:00:00</t>
  </si>
  <si>
    <t>31663671</t>
  </si>
  <si>
    <t>ООО "ЖилКомСети"</t>
  </si>
  <si>
    <t>2312230821</t>
  </si>
  <si>
    <t>06-07-2015 00:00:00</t>
  </si>
  <si>
    <t>31109625</t>
  </si>
  <si>
    <t>ООО "ИПП"</t>
  </si>
  <si>
    <t>2315999816</t>
  </si>
  <si>
    <t>01-02-2018 00:00:00</t>
  </si>
  <si>
    <t>26786376</t>
  </si>
  <si>
    <t>ООО "ИнвестГрупп-Энерджи"</t>
  </si>
  <si>
    <t>7724654924</t>
  </si>
  <si>
    <t>28944782</t>
  </si>
  <si>
    <t>ООО "ИнжКомСтрой"</t>
  </si>
  <si>
    <t>2312214932</t>
  </si>
  <si>
    <t>28-05-2014 00:00:00</t>
  </si>
  <si>
    <t>28446173</t>
  </si>
  <si>
    <t>ООО "КНВЛ Групп"</t>
  </si>
  <si>
    <t>5254031153</t>
  </si>
  <si>
    <t>31596908</t>
  </si>
  <si>
    <t>ООО "КНВЛ-Энерджи"</t>
  </si>
  <si>
    <t>2308206079</t>
  </si>
  <si>
    <t>24-06-2022 00:00:00</t>
  </si>
  <si>
    <t>31359272</t>
  </si>
  <si>
    <t>ООО "КТ"</t>
  </si>
  <si>
    <t>2311297943</t>
  </si>
  <si>
    <t>19-11-2019 00:00:00</t>
  </si>
  <si>
    <t>30924762</t>
  </si>
  <si>
    <t>ООО "КТИ"</t>
  </si>
  <si>
    <t>2311194722</t>
  </si>
  <si>
    <t>10-07-2015 00:00:00</t>
  </si>
  <si>
    <t>31517228</t>
  </si>
  <si>
    <t>ООО "КТЭ"</t>
  </si>
  <si>
    <t>2311322773</t>
  </si>
  <si>
    <t>31639119</t>
  </si>
  <si>
    <t>ООО "КТЭК"</t>
  </si>
  <si>
    <t>2311323576</t>
  </si>
  <si>
    <t>28265804</t>
  </si>
  <si>
    <t>ООО "Карасунские тепловые сети"</t>
  </si>
  <si>
    <t>2309118107</t>
  </si>
  <si>
    <t>28468279</t>
  </si>
  <si>
    <t>ООО "КомЭнерго"</t>
  </si>
  <si>
    <t>2315177580</t>
  </si>
  <si>
    <t>01-01-2013 00:00:00</t>
  </si>
  <si>
    <t>31323592</t>
  </si>
  <si>
    <t>ООО "Корпус"</t>
  </si>
  <si>
    <t>2308215764</t>
  </si>
  <si>
    <t>04-07-2019 00:00:00</t>
  </si>
  <si>
    <t>31447831</t>
  </si>
  <si>
    <t>ООО "Кубанская Тепловая Компания""</t>
  </si>
  <si>
    <t>2311305312</t>
  </si>
  <si>
    <t>16-10-2020 00:00:00</t>
  </si>
  <si>
    <t>31625756</t>
  </si>
  <si>
    <t>ООО "Кубанькрайгаз"</t>
  </si>
  <si>
    <t>2360010921</t>
  </si>
  <si>
    <t>26606488</t>
  </si>
  <si>
    <t>ООО "Кубаньречфлот-сервис"</t>
  </si>
  <si>
    <t>2309121163</t>
  </si>
  <si>
    <t>22-03-2010 00:00:00</t>
  </si>
  <si>
    <t>31753154</t>
  </si>
  <si>
    <t>ООО "Кубаньтеплострой"</t>
  </si>
  <si>
    <t>2373014088</t>
  </si>
  <si>
    <t>02-02-2018 00:00:00</t>
  </si>
  <si>
    <t>26487627</t>
  </si>
  <si>
    <t>ООО "ЛУКОЙЛ-Кубаньэнерго"</t>
  </si>
  <si>
    <t>2312159262</t>
  </si>
  <si>
    <t>26-02-2009 00:00:00</t>
  </si>
  <si>
    <t>28967420</t>
  </si>
  <si>
    <t>ООО "Лидер"</t>
  </si>
  <si>
    <t>2309093131</t>
  </si>
  <si>
    <t>13-05-2015 00:00:00</t>
  </si>
  <si>
    <t>31625740</t>
  </si>
  <si>
    <t>ООО "ММК"</t>
  </si>
  <si>
    <t>2369005299</t>
  </si>
  <si>
    <t>236901001</t>
  </si>
  <si>
    <t>08-02-2017 00:00:00</t>
  </si>
  <si>
    <t>30355977</t>
  </si>
  <si>
    <t>ООО "МОССПЕЦМОНТАЖ"</t>
  </si>
  <si>
    <t>5032234346</t>
  </si>
  <si>
    <t>503201001</t>
  </si>
  <si>
    <t>24-02-2011 00:00:00</t>
  </si>
  <si>
    <t>31220953</t>
  </si>
  <si>
    <t>ООО "МТС"</t>
  </si>
  <si>
    <t>2369006704</t>
  </si>
  <si>
    <t>09-11-2018 00:00:00</t>
  </si>
  <si>
    <t>31448096</t>
  </si>
  <si>
    <t>ООО "МЭС"</t>
  </si>
  <si>
    <t>2321016736</t>
  </si>
  <si>
    <t>16-08-2022 00:00:00</t>
  </si>
  <si>
    <t>31417412</t>
  </si>
  <si>
    <t>ООО "Магнит Фарма"</t>
  </si>
  <si>
    <t>7702420263</t>
  </si>
  <si>
    <t>12-07-2017 00:00:00</t>
  </si>
  <si>
    <t>31695752</t>
  </si>
  <si>
    <t>ООО "Мацестареалстрой"</t>
  </si>
  <si>
    <t>2309098926</t>
  </si>
  <si>
    <t>15-06-2006 00:00:00</t>
  </si>
  <si>
    <t>31442275</t>
  </si>
  <si>
    <t>ООО "Меркурий"</t>
  </si>
  <si>
    <t>2311124852</t>
  </si>
  <si>
    <t>28827957</t>
  </si>
  <si>
    <t>ООО "Модуль"</t>
  </si>
  <si>
    <t>2373003960</t>
  </si>
  <si>
    <t>20-06-2013 00:00:00</t>
  </si>
  <si>
    <t>27579623</t>
  </si>
  <si>
    <t>ООО "НИИК "Инвест Т"</t>
  </si>
  <si>
    <t>2343019402</t>
  </si>
  <si>
    <t>31456831</t>
  </si>
  <si>
    <t>ООО "НТГ"</t>
  </si>
  <si>
    <t>2315216208</t>
  </si>
  <si>
    <t>29-11-2020 00:00:00</t>
  </si>
  <si>
    <t>26528794</t>
  </si>
  <si>
    <t>ООО "Нефтегазтехнология - Ресурс"</t>
  </si>
  <si>
    <t>2308113794</t>
  </si>
  <si>
    <t>26355137</t>
  </si>
  <si>
    <t>ООО "Новопокровские тепловые сети"</t>
  </si>
  <si>
    <t>2344014340</t>
  </si>
  <si>
    <t>30939750</t>
  </si>
  <si>
    <t>ООО "Новороссийская тепловая компания"</t>
  </si>
  <si>
    <t>2315986542</t>
  </si>
  <si>
    <t>04-12-2015 00:00:00</t>
  </si>
  <si>
    <t>30836721</t>
  </si>
  <si>
    <t>ООО "Норд-Фактор"</t>
  </si>
  <si>
    <t>7810412654</t>
  </si>
  <si>
    <t>12-09-2016 00:00:00</t>
  </si>
  <si>
    <t>28861442</t>
  </si>
  <si>
    <t>ООО "Ноябрь"</t>
  </si>
  <si>
    <t>2310165831</t>
  </si>
  <si>
    <t>07-11-2014 00:00:00</t>
  </si>
  <si>
    <t>31752789</t>
  </si>
  <si>
    <t>ООО "ОРЦ Новороссийск"</t>
  </si>
  <si>
    <t>2311294692</t>
  </si>
  <si>
    <t>17-09-2019 00:00:00</t>
  </si>
  <si>
    <t>31740219</t>
  </si>
  <si>
    <t>ООО "ОС"</t>
  </si>
  <si>
    <t>2310235246</t>
  </si>
  <si>
    <t>06-12-2023 00:00:00</t>
  </si>
  <si>
    <t>31713516</t>
  </si>
  <si>
    <t>ООО "ОТК"</t>
  </si>
  <si>
    <t>2311342434</t>
  </si>
  <si>
    <t>02-12-2022 00:00:00</t>
  </si>
  <si>
    <t>31720551</t>
  </si>
  <si>
    <t>ООО "П/Ф "Новороссийск"</t>
  </si>
  <si>
    <t>2315210968</t>
  </si>
  <si>
    <t>21-03-2019 00:00:00</t>
  </si>
  <si>
    <t>30837914</t>
  </si>
  <si>
    <t>ООО "Павловский сахарный завод"</t>
  </si>
  <si>
    <t>2309140864</t>
  </si>
  <si>
    <t>236201001</t>
  </si>
  <si>
    <t>20-05-2016 00:00:00</t>
  </si>
  <si>
    <t>26468848</t>
  </si>
  <si>
    <t>ООО "Пластуновское ЖКХ"</t>
  </si>
  <si>
    <t>2330035319</t>
  </si>
  <si>
    <t>31502075</t>
  </si>
  <si>
    <t>ООО "РГС-Ресурс"</t>
  </si>
  <si>
    <t>2315218597</t>
  </si>
  <si>
    <t>03-11-2020 00:00:00</t>
  </si>
  <si>
    <t>26319777</t>
  </si>
  <si>
    <t>ООО "РН-Туапсинский НПЗ"</t>
  </si>
  <si>
    <t>2365004375</t>
  </si>
  <si>
    <t>16-11-2005 00:00:00</t>
  </si>
  <si>
    <t>30925669</t>
  </si>
  <si>
    <t>ООО "РСО-ЮГ"</t>
  </si>
  <si>
    <t>2311135646</t>
  </si>
  <si>
    <t>09-06-2011 00:00:00</t>
  </si>
  <si>
    <t>31345866</t>
  </si>
  <si>
    <t>ООО "РТЭ"</t>
  </si>
  <si>
    <t>2311286476</t>
  </si>
  <si>
    <t>01-04-2019 00:00:00</t>
  </si>
  <si>
    <t>31356957</t>
  </si>
  <si>
    <t>ООО "Риф Сервис"</t>
  </si>
  <si>
    <t>2301092136</t>
  </si>
  <si>
    <t>236601001</t>
  </si>
  <si>
    <t>08-06-2016 00:00:00</t>
  </si>
  <si>
    <t>31483921</t>
  </si>
  <si>
    <t>ООО "СБ-Энерго"</t>
  </si>
  <si>
    <t>2312297618</t>
  </si>
  <si>
    <t>31-03-2021 00:00:00</t>
  </si>
  <si>
    <t>31214534</t>
  </si>
  <si>
    <t>ООО "СЗ ЧЕРНОМОР"</t>
  </si>
  <si>
    <t>2320225840</t>
  </si>
  <si>
    <t>23-10-2014 00:00:00</t>
  </si>
  <si>
    <t>26355043</t>
  </si>
  <si>
    <t>ООО "СЗ" "ИСК «БУДМАР»</t>
  </si>
  <si>
    <t>2310081363</t>
  </si>
  <si>
    <t>31349809</t>
  </si>
  <si>
    <t>ООО "СПКК"</t>
  </si>
  <si>
    <t>7814299632</t>
  </si>
  <si>
    <t>781401001</t>
  </si>
  <si>
    <t>22-12-2015 00:00:00</t>
  </si>
  <si>
    <t>26355094</t>
  </si>
  <si>
    <t>ООО "Санаторий "Заполярье"</t>
  </si>
  <si>
    <t>2320126214</t>
  </si>
  <si>
    <t>28-06-2004 00:00:00</t>
  </si>
  <si>
    <t>26509884</t>
  </si>
  <si>
    <t>ООО "Санаторий "С.С.С.Р."</t>
  </si>
  <si>
    <t>2317036306</t>
  </si>
  <si>
    <t>26529733</t>
  </si>
  <si>
    <t>ООО "Свод Интернешнл"</t>
  </si>
  <si>
    <t>7730163480</t>
  </si>
  <si>
    <t>773001001</t>
  </si>
  <si>
    <t>26355044</t>
  </si>
  <si>
    <t>ООО "Славяне"</t>
  </si>
  <si>
    <t>2310097839</t>
  </si>
  <si>
    <t>14-11-2004 00:00:00</t>
  </si>
  <si>
    <t>31638727</t>
  </si>
  <si>
    <t>ООО "Славянсктеплоэнерго"</t>
  </si>
  <si>
    <t>2370010511</t>
  </si>
  <si>
    <t>22-06-2020 00:00:00</t>
  </si>
  <si>
    <t>27919094</t>
  </si>
  <si>
    <t>ООО "Строй-Новация"</t>
  </si>
  <si>
    <t>2310037639</t>
  </si>
  <si>
    <t>31078106</t>
  </si>
  <si>
    <t>ООО "СтройСервис"</t>
  </si>
  <si>
    <t>2301077434</t>
  </si>
  <si>
    <t>30-12-2017 00:00:00</t>
  </si>
  <si>
    <t>30840101</t>
  </si>
  <si>
    <t>ООО "ТД94"</t>
  </si>
  <si>
    <t>2309150358</t>
  </si>
  <si>
    <t>21-04-2016 00:00:00</t>
  </si>
  <si>
    <t>31627950</t>
  </si>
  <si>
    <t>ООО "ТСО №1"</t>
  </si>
  <si>
    <t>2310226636</t>
  </si>
  <si>
    <t>05-10-2021 00:00:00</t>
  </si>
  <si>
    <t>31568475</t>
  </si>
  <si>
    <t>ООО "ТСС"</t>
  </si>
  <si>
    <t>2311328302</t>
  </si>
  <si>
    <t>21-12-2021 00:00:00</t>
  </si>
  <si>
    <t>31349188</t>
  </si>
  <si>
    <t>ООО "ТТК"</t>
  </si>
  <si>
    <t>2311290377</t>
  </si>
  <si>
    <t>24-10-2019 00:00:00</t>
  </si>
  <si>
    <t>31727556</t>
  </si>
  <si>
    <t>ООО "ТЭК"</t>
  </si>
  <si>
    <t>2310234958</t>
  </si>
  <si>
    <t>19-12-2023 00:00:00</t>
  </si>
  <si>
    <t>30924603</t>
  </si>
  <si>
    <t>2318041041</t>
  </si>
  <si>
    <t>231801001</t>
  </si>
  <si>
    <t>05-09-2012 00:00:00</t>
  </si>
  <si>
    <t>31624813</t>
  </si>
  <si>
    <t>ООО "ТЭС"</t>
  </si>
  <si>
    <t>2312311990</t>
  </si>
  <si>
    <t>13-10-2022 00:00:00</t>
  </si>
  <si>
    <t>31418850</t>
  </si>
  <si>
    <t>ООО "Тепло"</t>
  </si>
  <si>
    <t>2310209302</t>
  </si>
  <si>
    <t>21-08-2018 00:00:00</t>
  </si>
  <si>
    <t>31540438</t>
  </si>
  <si>
    <t>2365030008</t>
  </si>
  <si>
    <t>19-11-2021 00:00:00</t>
  </si>
  <si>
    <t>31282543</t>
  </si>
  <si>
    <t>ООО "ТеплоТЭК"</t>
  </si>
  <si>
    <t>2315209962</t>
  </si>
  <si>
    <t>18-01-2019 00:00:00</t>
  </si>
  <si>
    <t>26354999</t>
  </si>
  <si>
    <t>ООО "Тепловик"</t>
  </si>
  <si>
    <t>2301036935</t>
  </si>
  <si>
    <t>26516342</t>
  </si>
  <si>
    <t>ООО "Тепловые сети Апшеронского района"</t>
  </si>
  <si>
    <t>2325020959</t>
  </si>
  <si>
    <t>232501001</t>
  </si>
  <si>
    <t>31319623</t>
  </si>
  <si>
    <t>ООО "Теплопрофиль"</t>
  </si>
  <si>
    <t>2312279619</t>
  </si>
  <si>
    <t>21-06-2019 00:00:00</t>
  </si>
  <si>
    <t>31624807</t>
  </si>
  <si>
    <t>ООО "Теплоресурс"</t>
  </si>
  <si>
    <t>2312312048</t>
  </si>
  <si>
    <t>31062642</t>
  </si>
  <si>
    <t>ООО "Теплосервис"</t>
  </si>
  <si>
    <t>2309142519</t>
  </si>
  <si>
    <t>27-02-2018 00:00:00</t>
  </si>
  <si>
    <t>26355033</t>
  </si>
  <si>
    <t>ООО "Теплосервис-2000"</t>
  </si>
  <si>
    <t>2309080140</t>
  </si>
  <si>
    <t>26532030</t>
  </si>
  <si>
    <t>ООО "Теплосети"</t>
  </si>
  <si>
    <t>2333011450</t>
  </si>
  <si>
    <t>233301001</t>
  </si>
  <si>
    <t>31488189</t>
  </si>
  <si>
    <t>ООО "Теплосеть"</t>
  </si>
  <si>
    <t>2311311330</t>
  </si>
  <si>
    <t>24-02-2021 00:00:00</t>
  </si>
  <si>
    <t>31022266</t>
  </si>
  <si>
    <t>ООО "Теплоснабжающая компания"</t>
  </si>
  <si>
    <t>2365026587</t>
  </si>
  <si>
    <t>15-03-2017 00:00:00</t>
  </si>
  <si>
    <t>30992313</t>
  </si>
  <si>
    <t>ООО "Теплоэнергетик"</t>
  </si>
  <si>
    <t>2311241073</t>
  </si>
  <si>
    <t>21-07-2017 00:00:00</t>
  </si>
  <si>
    <t>26529467</t>
  </si>
  <si>
    <t>ООО "Теплоэнергетическая компания"</t>
  </si>
  <si>
    <t>2337032892</t>
  </si>
  <si>
    <t>233701001</t>
  </si>
  <si>
    <t>26493650</t>
  </si>
  <si>
    <t>ООО "Теплоэнергодар"</t>
  </si>
  <si>
    <t>2315147890</t>
  </si>
  <si>
    <t>31528072</t>
  </si>
  <si>
    <t>ООО "Теплый Город"</t>
  </si>
  <si>
    <t>2315216617</t>
  </si>
  <si>
    <t>10-11-2021 00:00:00</t>
  </si>
  <si>
    <t>30802627</t>
  </si>
  <si>
    <t>ООО "ТермоТрон"</t>
  </si>
  <si>
    <t>5024159342</t>
  </si>
  <si>
    <t>502401001</t>
  </si>
  <si>
    <t>02-11-2015 00:00:00</t>
  </si>
  <si>
    <t>31216672</t>
  </si>
  <si>
    <t>ООО "ТехноГарант"</t>
  </si>
  <si>
    <t>2312264965</t>
  </si>
  <si>
    <t>31-10-2018 00:00:00</t>
  </si>
  <si>
    <t>31513849</t>
  </si>
  <si>
    <t>ООО "Технология"</t>
  </si>
  <si>
    <t>7718286207</t>
  </si>
  <si>
    <t>24-08-2021 00:00:00</t>
  </si>
  <si>
    <t>28828091</t>
  </si>
  <si>
    <t>ООО "ТихорецкЭнерго"</t>
  </si>
  <si>
    <t>2360007809</t>
  </si>
  <si>
    <t>31450860</t>
  </si>
  <si>
    <t>ООО "ТрансКавказ"</t>
  </si>
  <si>
    <t>2365019967</t>
  </si>
  <si>
    <t>13-08-2012 00:00:00</t>
  </si>
  <si>
    <t>30847614</t>
  </si>
  <si>
    <t>ООО "Триумф плюс"</t>
  </si>
  <si>
    <t>2372018227</t>
  </si>
  <si>
    <t>237201001</t>
  </si>
  <si>
    <t>07-09-2016 00:00:00</t>
  </si>
  <si>
    <t>31204359</t>
  </si>
  <si>
    <t>ООО "УК "Оптимум сервис"</t>
  </si>
  <si>
    <t>2320246141</t>
  </si>
  <si>
    <t>17-02-2017 00:00:00</t>
  </si>
  <si>
    <t>26355026</t>
  </si>
  <si>
    <t>ООО "Универсал-Плюс-Сервис"</t>
  </si>
  <si>
    <t>2308068559</t>
  </si>
  <si>
    <t>06-01-2003 00:00:00</t>
  </si>
  <si>
    <t>31336346</t>
  </si>
  <si>
    <t>ООО "Управляющая компания "Индустриальный парк Краснодар"</t>
  </si>
  <si>
    <t>2311209369</t>
  </si>
  <si>
    <t>24-03-2016 00:00:00</t>
  </si>
  <si>
    <t>26516316</t>
  </si>
  <si>
    <t>ООО "Усть-Лабинскгазстрой"</t>
  </si>
  <si>
    <t>2356036356</t>
  </si>
  <si>
    <t>31527914</t>
  </si>
  <si>
    <t>ООО "Фирма "Баланс"</t>
  </si>
  <si>
    <t>2365028009</t>
  </si>
  <si>
    <t>30-07-2018 00:00:00</t>
  </si>
  <si>
    <t>26318591</t>
  </si>
  <si>
    <t>ООО "Хоста"</t>
  </si>
  <si>
    <t>2319018550</t>
  </si>
  <si>
    <t>31190212</t>
  </si>
  <si>
    <t>ООО "Хранитель"</t>
  </si>
  <si>
    <t>2310158305</t>
  </si>
  <si>
    <t>15-11-2011 00:00:00</t>
  </si>
  <si>
    <t>31491578</t>
  </si>
  <si>
    <t>ООО "ЦУП ЖКХ"</t>
  </si>
  <si>
    <t>7811207760</t>
  </si>
  <si>
    <t>781101001</t>
  </si>
  <si>
    <t>11-06-2015 00:00:00</t>
  </si>
  <si>
    <t>26355085</t>
  </si>
  <si>
    <t>ООО "Черномормебель ТЭН"</t>
  </si>
  <si>
    <t>2315118923</t>
  </si>
  <si>
    <t>27873181</t>
  </si>
  <si>
    <t>ООО "ЭНЕРГОГАРАНТ"</t>
  </si>
  <si>
    <t>2319050916</t>
  </si>
  <si>
    <t>31579640</t>
  </si>
  <si>
    <t>ООО "ЭТК"</t>
  </si>
  <si>
    <t>2311327242</t>
  </si>
  <si>
    <t>26-11-2021 00:00:00</t>
  </si>
  <si>
    <t>26355063</t>
  </si>
  <si>
    <t>ООО "ЭкоСервис"</t>
  </si>
  <si>
    <t>2312143375</t>
  </si>
  <si>
    <t>31354314</t>
  </si>
  <si>
    <t>ООО "Энерго"</t>
  </si>
  <si>
    <t>2365028810</t>
  </si>
  <si>
    <t>12-08-2019 00:00:00</t>
  </si>
  <si>
    <t>30849318</t>
  </si>
  <si>
    <t>ООО "ЮТЭК"</t>
  </si>
  <si>
    <t>2365004174</t>
  </si>
  <si>
    <t>29-02-2008 00:00:00</t>
  </si>
  <si>
    <t>31222847</t>
  </si>
  <si>
    <t>2365027206</t>
  </si>
  <si>
    <t>09-10-2017 00:00:00</t>
  </si>
  <si>
    <t>28221002</t>
  </si>
  <si>
    <t>ООО "ЮТЭП"</t>
  </si>
  <si>
    <t>2311151510</t>
  </si>
  <si>
    <t>28-11-2012 00:00:00</t>
  </si>
  <si>
    <t>26562795</t>
  </si>
  <si>
    <t>ООО "Юг-Теплосервис"</t>
  </si>
  <si>
    <t>2348031322</t>
  </si>
  <si>
    <t>31002183</t>
  </si>
  <si>
    <t>ООО "ЮгСети"</t>
  </si>
  <si>
    <t>2312258464</t>
  </si>
  <si>
    <t>10-04-2017 00:00:00</t>
  </si>
  <si>
    <t>31020957</t>
  </si>
  <si>
    <t>ООО "ЮгТеплоЭнерго"</t>
  </si>
  <si>
    <t>2312214724</t>
  </si>
  <si>
    <t>01-11-2017 00:00:00</t>
  </si>
  <si>
    <t>31524191</t>
  </si>
  <si>
    <t>ООО "ЮгЭнергоИнвест"</t>
  </si>
  <si>
    <t>2312294984</t>
  </si>
  <si>
    <t>30-09-2020 00:00:00</t>
  </si>
  <si>
    <t>26355049</t>
  </si>
  <si>
    <t>ООО «КСТК»</t>
  </si>
  <si>
    <t>2311050329</t>
  </si>
  <si>
    <t>26355120</t>
  </si>
  <si>
    <t>ООО «Каневской ЗГА»</t>
  </si>
  <si>
    <t>2334013965</t>
  </si>
  <si>
    <t>31470151</t>
  </si>
  <si>
    <t>ООО «ТТК»</t>
  </si>
  <si>
    <t>2311305369</t>
  </si>
  <si>
    <t>12-05-2020 00:00:00</t>
  </si>
  <si>
    <t>26355042</t>
  </si>
  <si>
    <t>ООО «Центр содействия бизнесу «ПИК»</t>
  </si>
  <si>
    <t>2310078603</t>
  </si>
  <si>
    <t>30-11-2002 00:00:00</t>
  </si>
  <si>
    <t>26355009</t>
  </si>
  <si>
    <t>ООО ККП "Геленджиккурорт"</t>
  </si>
  <si>
    <t>2304034654</t>
  </si>
  <si>
    <t>31416125</t>
  </si>
  <si>
    <t>ООО МЭЗ "Ресурс"</t>
  </si>
  <si>
    <t>2631805988</t>
  </si>
  <si>
    <t>263101001</t>
  </si>
  <si>
    <t>01-01-2020 00:00:00</t>
  </si>
  <si>
    <t>27812794</t>
  </si>
  <si>
    <t>ООО ПЗ "Наша Родина"</t>
  </si>
  <si>
    <t>2329023728</t>
  </si>
  <si>
    <t>31746651</t>
  </si>
  <si>
    <t>ООО СЗ "Краснодар Регион"</t>
  </si>
  <si>
    <t>2312314983</t>
  </si>
  <si>
    <t>31387224</t>
  </si>
  <si>
    <t>ООО СЗ "НОВОСФЕРА"</t>
  </si>
  <si>
    <t>2311136390</t>
  </si>
  <si>
    <t>07-07-2011 00:00:00</t>
  </si>
  <si>
    <t>31520978</t>
  </si>
  <si>
    <t>ООО СЗ Кислород</t>
  </si>
  <si>
    <t>2367015397</t>
  </si>
  <si>
    <t>31520972</t>
  </si>
  <si>
    <t>ООО СК ИСК Еврострой</t>
  </si>
  <si>
    <t>2304069946</t>
  </si>
  <si>
    <t>31718678</t>
  </si>
  <si>
    <t>ООО СКО "Радость"</t>
  </si>
  <si>
    <t>2365025142</t>
  </si>
  <si>
    <t>18-12-2023 00:00:00</t>
  </si>
  <si>
    <t>31455451</t>
  </si>
  <si>
    <t>ООО УК "Домус"</t>
  </si>
  <si>
    <t>2311308063</t>
  </si>
  <si>
    <t>03-12-2020 00:00:00</t>
  </si>
  <si>
    <t>30438799</t>
  </si>
  <si>
    <t>ООО УК "Заречье"</t>
  </si>
  <si>
    <t>2365021934</t>
  </si>
  <si>
    <t>08-04-2016 00:00:00</t>
  </si>
  <si>
    <t>30858178</t>
  </si>
  <si>
    <t>ООО ФИК "Бизнес Проект"</t>
  </si>
  <si>
    <t>2309136240</t>
  </si>
  <si>
    <t>09-12-2016 00:00:00</t>
  </si>
  <si>
    <t>31635406</t>
  </si>
  <si>
    <t>Обособленное подразделение имущественного комплекса г. Новороссийск филиала "Дирекция по эксплуатации имущественного комплекса" ФГУП "ГУСС"</t>
  </si>
  <si>
    <t>2315078029</t>
  </si>
  <si>
    <t>231545004</t>
  </si>
  <si>
    <t>31006022</t>
  </si>
  <si>
    <t>Общество с ограниченной отвественностью "Комфорт Сити"</t>
  </si>
  <si>
    <t>2301094373</t>
  </si>
  <si>
    <t>02-05-2017 00:00:00</t>
  </si>
  <si>
    <t>26355119</t>
  </si>
  <si>
    <t>ПАО "Каневсксахар"</t>
  </si>
  <si>
    <t>2334005403</t>
  </si>
  <si>
    <t>26530248</t>
  </si>
  <si>
    <t>ПАО "Новороссийский морской торговый порт"</t>
  </si>
  <si>
    <t>2315004404</t>
  </si>
  <si>
    <t>26814881</t>
  </si>
  <si>
    <t>ПАО "Сургутнефтегаз" Оздоровительный трест " Сургут"</t>
  </si>
  <si>
    <t>8602060555</t>
  </si>
  <si>
    <t>860201001</t>
  </si>
  <si>
    <t>26535421</t>
  </si>
  <si>
    <t>ПО "Дом торговли"</t>
  </si>
  <si>
    <t>2329017940</t>
  </si>
  <si>
    <t>26359319</t>
  </si>
  <si>
    <t>СХК "Донагрокурорт" Филиал - санаторий "Тихий Дон"</t>
  </si>
  <si>
    <t>6163051203</t>
  </si>
  <si>
    <t>231802001</t>
  </si>
  <si>
    <t>20-02-1998 00:00:00</t>
  </si>
  <si>
    <t>26816056</t>
  </si>
  <si>
    <t>Северо-Кавказская дирекция по тепловодоснабжению структурное подразделение Центральной дирекции по тепловодоснабжению - филиала ОАО "РЖД"</t>
  </si>
  <si>
    <t>7708503727</t>
  </si>
  <si>
    <t>616745019</t>
  </si>
  <si>
    <t>26322297</t>
  </si>
  <si>
    <t>Северо-Кавказский филиал ООО "Газпром энерго"</t>
  </si>
  <si>
    <t>7736186950</t>
  </si>
  <si>
    <t>263602001</t>
  </si>
  <si>
    <t>27-07-1998 00:00:00</t>
  </si>
  <si>
    <t>26355090</t>
  </si>
  <si>
    <t>Служба охраны на Кавказе ФСО России</t>
  </si>
  <si>
    <t>2319019338</t>
  </si>
  <si>
    <t>30352172</t>
  </si>
  <si>
    <t>ТСЖ ЖК "Солнечный"</t>
  </si>
  <si>
    <t>2311131112</t>
  </si>
  <si>
    <t>12-01-2011 00:00:00</t>
  </si>
  <si>
    <t>30876488</t>
  </si>
  <si>
    <t>Туапсинский Филиал ООО "Газпром теплоэнерго Краснодар"</t>
  </si>
  <si>
    <t>26531972</t>
  </si>
  <si>
    <t>ФБУ ИК-4 УФСИН России по Краснодарскому краю</t>
  </si>
  <si>
    <t>2302031224</t>
  </si>
  <si>
    <t>26355151</t>
  </si>
  <si>
    <t>ФГАУ "Дом отдыха "Туапсе"  Управление делами Президента РФ</t>
  </si>
  <si>
    <t>2355004425</t>
  </si>
  <si>
    <t>03-12-2002 00:00:00</t>
  </si>
  <si>
    <t>26507578</t>
  </si>
  <si>
    <t>ФГБНУ "НЦЗ им. П.П. Лукьяненко"</t>
  </si>
  <si>
    <t>2311014916</t>
  </si>
  <si>
    <t>12-10-2002 00:00:00</t>
  </si>
  <si>
    <t>26355150</t>
  </si>
  <si>
    <t>ФГБОУ ВДЦ "Орленок"</t>
  </si>
  <si>
    <t>2355004390</t>
  </si>
  <si>
    <t>28859259</t>
  </si>
  <si>
    <t>ФГБОУ ВО "КГИК"</t>
  </si>
  <si>
    <t>2311021085</t>
  </si>
  <si>
    <t>26355037</t>
  </si>
  <si>
    <t>ФГБОУ ВО КубГТУ</t>
  </si>
  <si>
    <t>2310018876</t>
  </si>
  <si>
    <t>26653552</t>
  </si>
  <si>
    <t>ФГБУ "Краснодарская МВЛ"</t>
  </si>
  <si>
    <t>2308034630</t>
  </si>
  <si>
    <t>26528683</t>
  </si>
  <si>
    <t>ФГБУ "Объединённый санаторий "Русь"</t>
  </si>
  <si>
    <t>2319023817</t>
  </si>
  <si>
    <t>30903763</t>
  </si>
  <si>
    <t>ФГБУ "ЦЖКУ" МИНОБОРОНЫ РОССИИ</t>
  </si>
  <si>
    <t>7729314745</t>
  </si>
  <si>
    <t>770101001</t>
  </si>
  <si>
    <t>31209568</t>
  </si>
  <si>
    <t>ФГБУ "Юг Спорт"</t>
  </si>
  <si>
    <t>2319056379</t>
  </si>
  <si>
    <t>22-10-2018 00:00:00</t>
  </si>
  <si>
    <t>28828283</t>
  </si>
  <si>
    <t>ФГКОУ ИБО ФСБ России</t>
  </si>
  <si>
    <t>2301064107</t>
  </si>
  <si>
    <t>30-11-2011 00:00:00</t>
  </si>
  <si>
    <t>26355092</t>
  </si>
  <si>
    <t>ФГКУ "ЦКС им. Ф.Э.Дзержинского ФСБ России"</t>
  </si>
  <si>
    <t>2320054778</t>
  </si>
  <si>
    <t>30993299</t>
  </si>
  <si>
    <t>ФГКУЗ "Санаторий "Солнечный" войск национальной гвардии Российской Федерации"</t>
  </si>
  <si>
    <t>2355000438</t>
  </si>
  <si>
    <t>14-09-1993 00:00:00</t>
  </si>
  <si>
    <t>26355052</t>
  </si>
  <si>
    <t>ФГУП "ЖКК"</t>
  </si>
  <si>
    <t>2311215718</t>
  </si>
  <si>
    <t>20-06-2016 00:00:00</t>
  </si>
  <si>
    <t>26355133</t>
  </si>
  <si>
    <t>ФКП "Армавирская биофабрика"</t>
  </si>
  <si>
    <t>2343003392</t>
  </si>
  <si>
    <t>08-11-2002 00:00:00</t>
  </si>
  <si>
    <t>26355091</t>
  </si>
  <si>
    <t>ФКУ «Санаторий Правда»</t>
  </si>
  <si>
    <t>2319022330</t>
  </si>
  <si>
    <t>26355157</t>
  </si>
  <si>
    <t>ФКУ ИК-3 УФСИН России по Краснодарскому краю</t>
  </si>
  <si>
    <t>2356037800</t>
  </si>
  <si>
    <t>26355088</t>
  </si>
  <si>
    <t>ФКУЗ "Санаторий "Искра" МВД России"</t>
  </si>
  <si>
    <t>2319018052</t>
  </si>
  <si>
    <t>27579515</t>
  </si>
  <si>
    <t>ФКУЗ "Санаторий "Прогресс" МВД России</t>
  </si>
  <si>
    <t>2319023221</t>
  </si>
  <si>
    <t>26355152</t>
  </si>
  <si>
    <t>ФКУЗ "Санаторий "Сосновый" МВД России</t>
  </si>
  <si>
    <t>2355004898</t>
  </si>
  <si>
    <t>31-10-2002 00:00:00</t>
  </si>
  <si>
    <t>31641695</t>
  </si>
  <si>
    <t>Филиал "Джубга" ООО "АСУ-Сервис"</t>
  </si>
  <si>
    <t>14-09-2022 00:00:00</t>
  </si>
  <si>
    <t>31663486</t>
  </si>
  <si>
    <t>Филиал "ЛТС" ООО "СПКК"</t>
  </si>
  <si>
    <t>237143001</t>
  </si>
  <si>
    <t>06-12-2019 00:00:00</t>
  </si>
  <si>
    <t>31635591</t>
  </si>
  <si>
    <t>Филиал "СЕВЕРСКИЙ" ООО "АСУ-Сервис"</t>
  </si>
  <si>
    <t>234843001</t>
  </si>
  <si>
    <t>15-11-2022 00:00:00</t>
  </si>
  <si>
    <t>31491315</t>
  </si>
  <si>
    <t>Филиал "СИС" ООО "ЦУП ЖКХ"</t>
  </si>
  <si>
    <t>05-06-2020 00:00:00</t>
  </si>
  <si>
    <t>26355083</t>
  </si>
  <si>
    <t>Филиал «УПП № 422» ФГУП «ГУСС»</t>
  </si>
  <si>
    <t>26361070</t>
  </si>
  <si>
    <t>Филиал №1 ЗАО МПБК "Очаково"</t>
  </si>
  <si>
    <t>7729101200</t>
  </si>
  <si>
    <t>231102001</t>
  </si>
  <si>
    <t>26653550</t>
  </si>
  <si>
    <t>Филиал АО "АТЭК" "Абинские тепловые сети"</t>
  </si>
  <si>
    <t>2312054894</t>
  </si>
  <si>
    <t>232343001</t>
  </si>
  <si>
    <t>12-10-2010 00:00:00</t>
  </si>
  <si>
    <t>27581284</t>
  </si>
  <si>
    <t>Филиал АО "АТЭК" "Гулькевичские тепловые сети"</t>
  </si>
  <si>
    <t>27683182</t>
  </si>
  <si>
    <t>Филиал АО "АТЭК" "Краснодартеплоэнерго"</t>
  </si>
  <si>
    <t>231243001</t>
  </si>
  <si>
    <t>12-05-2011 00:00:00</t>
  </si>
  <si>
    <t>26823285</t>
  </si>
  <si>
    <t>Филиал АО "Черномортранснефть" "КРУМН"</t>
  </si>
  <si>
    <t>26761123</t>
  </si>
  <si>
    <t>Филиал АО "Черномортранснефть" "ТРУМН"</t>
  </si>
  <si>
    <t>232103001</t>
  </si>
  <si>
    <t>27710026</t>
  </si>
  <si>
    <t>Филиал ОАО "РЭУ" "Сочинский"</t>
  </si>
  <si>
    <t>7714783092</t>
  </si>
  <si>
    <t>231943002</t>
  </si>
  <si>
    <t>18-06-2009 00:00:00</t>
  </si>
  <si>
    <t>31503844</t>
  </si>
  <si>
    <t>Филиал ООО "КТИ" "Темрюкские Тепловые Сети"</t>
  </si>
  <si>
    <t>235243001</t>
  </si>
  <si>
    <t>31493295</t>
  </si>
  <si>
    <t>Филиал ООО "МЭС" г. Горячий Ключ</t>
  </si>
  <si>
    <t>20-11-2020 00:00:00</t>
  </si>
  <si>
    <t>31632789</t>
  </si>
  <si>
    <t>Филиал ООО "МЭС" пгт. Мостовской</t>
  </si>
  <si>
    <t>237743001</t>
  </si>
  <si>
    <t>07-10-2022 00:00:00</t>
  </si>
  <si>
    <t>26640656</t>
  </si>
  <si>
    <t>ЮО ИО РАН</t>
  </si>
  <si>
    <t>7727083115</t>
  </si>
  <si>
    <t>230402001</t>
  </si>
  <si>
    <t>30856184</t>
  </si>
  <si>
    <t>филиал "ЕИС" ООО "ЦУП ЖКХ"</t>
  </si>
  <si>
    <t>236143001</t>
  </si>
  <si>
    <t>31617884</t>
  </si>
  <si>
    <t>филиал "Прогресс" ООО "АСУ-Сервис"</t>
  </si>
  <si>
    <t>27673464</t>
  </si>
  <si>
    <t>филиал "Сочинская ТЭС" АО "Интер РАО - Электрогенерация"</t>
  </si>
  <si>
    <t>231943001</t>
  </si>
  <si>
    <t>26472933</t>
  </si>
  <si>
    <t>филиал АО "АТЭК"  "Новороссийские тепловые сети"</t>
  </si>
  <si>
    <t>26505597</t>
  </si>
  <si>
    <t>филиал АО "АТЭК"  "Тимашевские тепловые сети"</t>
  </si>
  <si>
    <t>236943001</t>
  </si>
  <si>
    <t>01-07-2011 00:00:00</t>
  </si>
  <si>
    <t>28817151</t>
  </si>
  <si>
    <t>филиал АО "РТСК" "Новоростепло"</t>
  </si>
  <si>
    <t>31448028</t>
  </si>
  <si>
    <t>филиал ООО "МЭС" с. Успенское</t>
  </si>
  <si>
    <t>01-10-2020 00:00:00</t>
  </si>
  <si>
    <t>31079963</t>
  </si>
  <si>
    <t>филиал ООО "РН-Транспорт"  в г. Славянск-на-Кубани</t>
  </si>
  <si>
    <t>0274089610</t>
  </si>
  <si>
    <t>237043001</t>
  </si>
  <si>
    <t>01-03-2018 00:00:00</t>
  </si>
  <si>
    <t>26809129</t>
  </si>
  <si>
    <t>филиал ПАО "ОГК-2" - Адлерская ТЭС</t>
  </si>
  <si>
    <t>2607018122</t>
  </si>
  <si>
    <t>30414883</t>
  </si>
  <si>
    <t>ОП "Краснодарское" АО "ГУ ЖКХ"</t>
  </si>
  <si>
    <t>230845001</t>
  </si>
  <si>
    <t>12-10-2015 00:00:00</t>
  </si>
  <si>
    <t>31283668</t>
  </si>
  <si>
    <t>"НПХ "Кореновское" - филиал ФГБНУ "НЦЗ имени П.П. Лукьяненко"</t>
  </si>
  <si>
    <t>237343001</t>
  </si>
  <si>
    <t>28-12-2018 00:00:00</t>
  </si>
  <si>
    <t>31526610</t>
  </si>
  <si>
    <t>"Пограничное управление Федеральной службы безопасности Российской Федерации по Карачаево-Черкесской Республике"</t>
  </si>
  <si>
    <t>0917010056</t>
  </si>
  <si>
    <t>091701001</t>
  </si>
  <si>
    <t>26468813</t>
  </si>
  <si>
    <t>«Новобейсугское» МУМП ЖКХ</t>
  </si>
  <si>
    <t>2328015805</t>
  </si>
  <si>
    <t>27-12-2005 00:00:00</t>
  </si>
  <si>
    <t>31540512</t>
  </si>
  <si>
    <t>АО "Агрокомплекс Павловский"</t>
  </si>
  <si>
    <t>2360014203</t>
  </si>
  <si>
    <t>22-11-2021 00:00:00</t>
  </si>
  <si>
    <t>30477549</t>
  </si>
  <si>
    <t>АО "Адлеркурорт"</t>
  </si>
  <si>
    <t>2317010611</t>
  </si>
  <si>
    <t>26473799</t>
  </si>
  <si>
    <t>АО "База отдыха "Энергетик"</t>
  </si>
  <si>
    <t>2355016847</t>
  </si>
  <si>
    <t>235501001</t>
  </si>
  <si>
    <t>10-11-2003 00:00:00</t>
  </si>
  <si>
    <t>26468699</t>
  </si>
  <si>
    <t>АО "Водоканал Апшеронского района"</t>
  </si>
  <si>
    <t>2325019287</t>
  </si>
  <si>
    <t>06-09-2012 00:00:00</t>
  </si>
  <si>
    <t>26471627</t>
  </si>
  <si>
    <t>АО "Водопровод"</t>
  </si>
  <si>
    <t>2356047502</t>
  </si>
  <si>
    <t>26471263</t>
  </si>
  <si>
    <t>АО "КЗ "Восход"</t>
  </si>
  <si>
    <t>2343011851</t>
  </si>
  <si>
    <t>06-11-2002 00:00:00</t>
  </si>
  <si>
    <t>26532020</t>
  </si>
  <si>
    <t>АО "Краснодарское" по искусственному осеменению сельскохозяйственных животных</t>
  </si>
  <si>
    <t>2311096482</t>
  </si>
  <si>
    <t>19-02-2007 00:00:00</t>
  </si>
  <si>
    <t>26470925</t>
  </si>
  <si>
    <t>АО "МОК "Братковский"</t>
  </si>
  <si>
    <t>2335012072</t>
  </si>
  <si>
    <t>26471366</t>
  </si>
  <si>
    <t>АО "Новопластуновское"</t>
  </si>
  <si>
    <t>2346000311</t>
  </si>
  <si>
    <t>16-03-2007 00:00:00</t>
  </si>
  <si>
    <t>31020948</t>
  </si>
  <si>
    <t>АО "Объединение"</t>
  </si>
  <si>
    <t>2309145245</t>
  </si>
  <si>
    <t>26760696</t>
  </si>
  <si>
    <t>АО "Рассвет"</t>
  </si>
  <si>
    <t>2352031188</t>
  </si>
  <si>
    <t>235201001</t>
  </si>
  <si>
    <t>18-10-1999 00:00:00</t>
  </si>
  <si>
    <t>26471642</t>
  </si>
  <si>
    <t>2356045713</t>
  </si>
  <si>
    <t>26471320</t>
  </si>
  <si>
    <t>АО "Ровненский элеватор"</t>
  </si>
  <si>
    <t>2344007569</t>
  </si>
  <si>
    <t>04-11-2002 00:00:00</t>
  </si>
  <si>
    <t>26473304</t>
  </si>
  <si>
    <t>АО "Содружество 92"</t>
  </si>
  <si>
    <t>2330015915</t>
  </si>
  <si>
    <t>26375481</t>
  </si>
  <si>
    <t>АО "Ульяновсккурорт"</t>
  </si>
  <si>
    <t>7325007322</t>
  </si>
  <si>
    <t>732101001</t>
  </si>
  <si>
    <t>28827616</t>
  </si>
  <si>
    <t>АО «АТЭК»</t>
  </si>
  <si>
    <t>04-10-2002 00:00:00</t>
  </si>
  <si>
    <t>26468197</t>
  </si>
  <si>
    <t>АО «Анапа Водоканал»</t>
  </si>
  <si>
    <t>2301078639</t>
  </si>
  <si>
    <t>21-12-2011 00:00:00</t>
  </si>
  <si>
    <t>28038167</t>
  </si>
  <si>
    <t>АО фирма "Геленджик-Отель"</t>
  </si>
  <si>
    <t>2304011618</t>
  </si>
  <si>
    <t>30946461</t>
  </si>
  <si>
    <t>Азово-Донской филиал ФГБУ "Главрыбвод"</t>
  </si>
  <si>
    <t>7708044880</t>
  </si>
  <si>
    <t>616243001</t>
  </si>
  <si>
    <t>28-08-2017 00:00:00</t>
  </si>
  <si>
    <t>26473547</t>
  </si>
  <si>
    <t>Ахтарское МУП ЖКХ</t>
  </si>
  <si>
    <t>2347012905</t>
  </si>
  <si>
    <t>02-04-2007 00:00:00</t>
  </si>
  <si>
    <t>26468795</t>
  </si>
  <si>
    <t>Бейсужекское ММУП ЖКХ</t>
  </si>
  <si>
    <t>2328016005</t>
  </si>
  <si>
    <t>26468801</t>
  </si>
  <si>
    <t>Бузиновское  МУМП ЖКХ</t>
  </si>
  <si>
    <t>2328015900</t>
  </si>
  <si>
    <t>09-07-2024 00:00:00</t>
  </si>
  <si>
    <t>28003787</t>
  </si>
  <si>
    <t>ГБУЗ "Курганинская ЦРБ"</t>
  </si>
  <si>
    <t>2339006182</t>
  </si>
  <si>
    <t>05-12-2012 00:00:00</t>
  </si>
  <si>
    <t>26468558</t>
  </si>
  <si>
    <t>ГБУЗ "СПБ № 7"</t>
  </si>
  <si>
    <t>2311038748</t>
  </si>
  <si>
    <t>28-01-2003 00:00:00</t>
  </si>
  <si>
    <t>29-01-2015 00:00:00</t>
  </si>
  <si>
    <t>26537654</t>
  </si>
  <si>
    <t>ГУП КК СВВУК "Курганинский групповой водопровод"</t>
  </si>
  <si>
    <t>2339015370</t>
  </si>
  <si>
    <t>26468683</t>
  </si>
  <si>
    <t>ЗАО "Абинсктрактороцентр"</t>
  </si>
  <si>
    <t>2323000604</t>
  </si>
  <si>
    <t>09-09-2011 00:00:00</t>
  </si>
  <si>
    <t>26471440</t>
  </si>
  <si>
    <t>ЗАО "Агрофирма "Дружба"</t>
  </si>
  <si>
    <t>2351009486</t>
  </si>
  <si>
    <t>26471434</t>
  </si>
  <si>
    <t>ЗАО "Алексеетенгинское"</t>
  </si>
  <si>
    <t>2351005587</t>
  </si>
  <si>
    <t>26760812</t>
  </si>
  <si>
    <t>ЗАО "Дионис М"</t>
  </si>
  <si>
    <t>2301046852</t>
  </si>
  <si>
    <t>30-01-2003 00:00:00</t>
  </si>
  <si>
    <t>26355142</t>
  </si>
  <si>
    <t>ЗАО "Марьинское"</t>
  </si>
  <si>
    <t>2351004520</t>
  </si>
  <si>
    <t>28460243</t>
  </si>
  <si>
    <t>ЗАО "Новоросцемремонт"</t>
  </si>
  <si>
    <t>2315004429</t>
  </si>
  <si>
    <t>14-01-2014 00:00:00</t>
  </si>
  <si>
    <t>26472875</t>
  </si>
  <si>
    <t>ЗАО "Пансионат "Джанхот"</t>
  </si>
  <si>
    <t>2304006760</t>
  </si>
  <si>
    <t>26319774</t>
  </si>
  <si>
    <t>ЗАО "Пансионат "Шепси"</t>
  </si>
  <si>
    <t>2355005066</t>
  </si>
  <si>
    <t>28-08-2002 00:00:00</t>
  </si>
  <si>
    <t>26473348</t>
  </si>
  <si>
    <t>ЗАО "Полтавские консервы"</t>
  </si>
  <si>
    <t>2336017877</t>
  </si>
  <si>
    <t>26470955</t>
  </si>
  <si>
    <t>ЗАО "Родник Кавказа"</t>
  </si>
  <si>
    <t>2338009649</t>
  </si>
  <si>
    <t>30362905</t>
  </si>
  <si>
    <t>ЗАО "Швейная фабрика "Славянская"</t>
  </si>
  <si>
    <t>2349031692</t>
  </si>
  <si>
    <t>02-06-2009 00:00:00</t>
  </si>
  <si>
    <t>26471253</t>
  </si>
  <si>
    <t>ЗАО КСП "Хуторок"</t>
  </si>
  <si>
    <t>2343012990</t>
  </si>
  <si>
    <t>26471268</t>
  </si>
  <si>
    <t>ЗАО имени Мичурина</t>
  </si>
  <si>
    <t>2343013168</t>
  </si>
  <si>
    <t>07-11-0002 00:00:00</t>
  </si>
  <si>
    <t>30859246</t>
  </si>
  <si>
    <t>ИП Быстрова Е.В.</t>
  </si>
  <si>
    <t>010500364387</t>
  </si>
  <si>
    <t>05-06-2006 00:00:00</t>
  </si>
  <si>
    <t>31401221</t>
  </si>
  <si>
    <t>ИП Кристя Э.В.</t>
  </si>
  <si>
    <t>230800586364</t>
  </si>
  <si>
    <t>20-02-2020 00:00:00</t>
  </si>
  <si>
    <t>31437128</t>
  </si>
  <si>
    <t>ИП Степанян А.А.</t>
  </si>
  <si>
    <t>237200515903</t>
  </si>
  <si>
    <t>15-04-2020 00:00:00</t>
  </si>
  <si>
    <t>28979484</t>
  </si>
  <si>
    <t>ИП Суманц С.Э.</t>
  </si>
  <si>
    <t>231001843031</t>
  </si>
  <si>
    <t>22-06-2015 00:00:00</t>
  </si>
  <si>
    <t>28493941</t>
  </si>
  <si>
    <t>ИП Толстых А.С.</t>
  </si>
  <si>
    <t>230906355938</t>
  </si>
  <si>
    <t>06-02-2006 00:00:00</t>
  </si>
  <si>
    <t>26468807</t>
  </si>
  <si>
    <t>Ирклиевское МУМП ЖКХ</t>
  </si>
  <si>
    <t>2328017369</t>
  </si>
  <si>
    <t>18-09-2006 00:00:00</t>
  </si>
  <si>
    <t>26473021</t>
  </si>
  <si>
    <t>Кавказский завод ЖБШ филиал ОАО "БЭТ"</t>
  </si>
  <si>
    <t>7708669867</t>
  </si>
  <si>
    <t>232902001</t>
  </si>
  <si>
    <t>26468809</t>
  </si>
  <si>
    <t>Крупское МП "ЖКХ"</t>
  </si>
  <si>
    <t>2328016100</t>
  </si>
  <si>
    <t>26470953</t>
  </si>
  <si>
    <t>Крыловское МУП "Водоканал"</t>
  </si>
  <si>
    <t>2338010877</t>
  </si>
  <si>
    <t>31309451</t>
  </si>
  <si>
    <t>МАУ "ЖКХ"</t>
  </si>
  <si>
    <t>2369007024</t>
  </si>
  <si>
    <t>07-03-2019 00:00:00</t>
  </si>
  <si>
    <t>31291339</t>
  </si>
  <si>
    <t>МБУ "Альянс"</t>
  </si>
  <si>
    <t>2373015571</t>
  </si>
  <si>
    <t>13-11-2018 00:00:00</t>
  </si>
  <si>
    <t>28980747</t>
  </si>
  <si>
    <t>МБУ "Возрождение"</t>
  </si>
  <si>
    <t>2356048249</t>
  </si>
  <si>
    <t>28286747</t>
  </si>
  <si>
    <t>МБУ "Восхождение"</t>
  </si>
  <si>
    <t>2356048175</t>
  </si>
  <si>
    <t>21-10-2013 00:00:00</t>
  </si>
  <si>
    <t>28144159</t>
  </si>
  <si>
    <t>МБУ "Голубицкая ПЭС"</t>
  </si>
  <si>
    <t>2352045737</t>
  </si>
  <si>
    <t>21-01-2013 00:00:00</t>
  </si>
  <si>
    <t>30913267</t>
  </si>
  <si>
    <t>МБУ "Город"</t>
  </si>
  <si>
    <t>2356045992</t>
  </si>
  <si>
    <t>26-04-2017 00:00:00</t>
  </si>
  <si>
    <t>26823668</t>
  </si>
  <si>
    <t>МБУ "Коммунальник"</t>
  </si>
  <si>
    <t>2327012262</t>
  </si>
  <si>
    <t>22-11-2010 00:00:00</t>
  </si>
  <si>
    <t>28142549</t>
  </si>
  <si>
    <t>МБУ "Криница"</t>
  </si>
  <si>
    <t>2327012939</t>
  </si>
  <si>
    <t>18-12-2012 00:00:00</t>
  </si>
  <si>
    <t>26835302</t>
  </si>
  <si>
    <t>МБУ "Рассвет"</t>
  </si>
  <si>
    <t>2356048425</t>
  </si>
  <si>
    <t>26530820</t>
  </si>
  <si>
    <t>МБУ "Сервис - Новое Село"</t>
  </si>
  <si>
    <t>2327011533</t>
  </si>
  <si>
    <t>10-11-2008 00:00:00</t>
  </si>
  <si>
    <t>31096364</t>
  </si>
  <si>
    <t>МБУ "Станичник"</t>
  </si>
  <si>
    <t>2356047943</t>
  </si>
  <si>
    <t>28017769</t>
  </si>
  <si>
    <t>МБУ "Старт"</t>
  </si>
  <si>
    <t>2356048048</t>
  </si>
  <si>
    <t>31002897</t>
  </si>
  <si>
    <t>МКП "Аквасервис"</t>
  </si>
  <si>
    <t>2377000304</t>
  </si>
  <si>
    <t>237701001</t>
  </si>
  <si>
    <t>10-10-2017 00:00:00</t>
  </si>
  <si>
    <t>26473529</t>
  </si>
  <si>
    <t>МКП "Горизонт"</t>
  </si>
  <si>
    <t>2346015999</t>
  </si>
  <si>
    <t>11-12-2008 00:00:00</t>
  </si>
  <si>
    <t>26473383</t>
  </si>
  <si>
    <t>МКП "Михайловское"</t>
  </si>
  <si>
    <t>2339015878</t>
  </si>
  <si>
    <t>18-01-2010 00:00:00</t>
  </si>
  <si>
    <t>26530647</t>
  </si>
  <si>
    <t>МКП "Новоалексеевское"</t>
  </si>
  <si>
    <t>2339018491</t>
  </si>
  <si>
    <t>25-06-2010 00:00:00</t>
  </si>
  <si>
    <t>31223116</t>
  </si>
  <si>
    <t>МКП "Партнер"</t>
  </si>
  <si>
    <t>2377000914</t>
  </si>
  <si>
    <t>23-03-2018 00:00:00</t>
  </si>
  <si>
    <t>30891119</t>
  </si>
  <si>
    <t>МКП "Прометей"</t>
  </si>
  <si>
    <t>2339023950</t>
  </si>
  <si>
    <t>21-10-2016 00:00:00</t>
  </si>
  <si>
    <t>26473397</t>
  </si>
  <si>
    <t>МКП "Темиргоевское"</t>
  </si>
  <si>
    <t>2339015780</t>
  </si>
  <si>
    <t>26473381</t>
  </si>
  <si>
    <t>МКП "Услуга"</t>
  </si>
  <si>
    <t>2339015691</t>
  </si>
  <si>
    <t>30814132</t>
  </si>
  <si>
    <t>МКП "Услуга" Екатериновского сельского поселения Щербиновского района</t>
  </si>
  <si>
    <t>2361004208</t>
  </si>
  <si>
    <t>28-01-2010 00:00:00</t>
  </si>
  <si>
    <t>13-06-2024 00:00:00</t>
  </si>
  <si>
    <t>31065850</t>
  </si>
  <si>
    <t>МКП ЖКХ "Старолеушковское сельское поселение"Павловского района</t>
  </si>
  <si>
    <t>2346016706</t>
  </si>
  <si>
    <t>30377609</t>
  </si>
  <si>
    <t>МКУ "АХЦ "Воронежский"</t>
  </si>
  <si>
    <t>2373008373</t>
  </si>
  <si>
    <t>01-12-2015 00:00:00</t>
  </si>
  <si>
    <t>26471322</t>
  </si>
  <si>
    <t>МКУ "Незамаевское"</t>
  </si>
  <si>
    <t>2344014005</t>
  </si>
  <si>
    <t>20-01-2006 00:00:00</t>
  </si>
  <si>
    <t>26471324</t>
  </si>
  <si>
    <t>МКУ "Новоивановское"</t>
  </si>
  <si>
    <t>2344013996</t>
  </si>
  <si>
    <t>26471310</t>
  </si>
  <si>
    <t>МКУ "Южное"</t>
  </si>
  <si>
    <t>2344013971</t>
  </si>
  <si>
    <t>16-01-2006 00:00:00</t>
  </si>
  <si>
    <t>31495547</t>
  </si>
  <si>
    <t>МКУ ССП СР "Смоленская Единая служба"</t>
  </si>
  <si>
    <t>2348040849</t>
  </si>
  <si>
    <t>30-04-2021 00:00:00</t>
  </si>
  <si>
    <t>26825665</t>
  </si>
  <si>
    <t>МКУП "Сельское хозяйство"</t>
  </si>
  <si>
    <t>2343018825</t>
  </si>
  <si>
    <t>24-01-2007 00:00:00</t>
  </si>
  <si>
    <t>26473443</t>
  </si>
  <si>
    <t>МУ "Импульс"</t>
  </si>
  <si>
    <t>2344013989</t>
  </si>
  <si>
    <t>19-01-2006 00:00:00</t>
  </si>
  <si>
    <t>26471313</t>
  </si>
  <si>
    <t>МУ "Калниболотское"</t>
  </si>
  <si>
    <t>2344014020</t>
  </si>
  <si>
    <t>27-01-2007 00:00:00</t>
  </si>
  <si>
    <t>26647606</t>
  </si>
  <si>
    <t>МУ "Комсомолец"</t>
  </si>
  <si>
    <t>2361003532</t>
  </si>
  <si>
    <t>26471318</t>
  </si>
  <si>
    <t>МУ "Кубанское хозяйственное объединение"</t>
  </si>
  <si>
    <t>2344013964</t>
  </si>
  <si>
    <t>13-01-2006 00:00:00</t>
  </si>
  <si>
    <t>28458494</t>
  </si>
  <si>
    <t>МУ МПКХ "Луч"</t>
  </si>
  <si>
    <t>2374000881</t>
  </si>
  <si>
    <t>01-01-2014 00:00:00</t>
  </si>
  <si>
    <t>26470983</t>
  </si>
  <si>
    <t>МУ МПКХ ст.Ахметовской</t>
  </si>
  <si>
    <t>2314019292</t>
  </si>
  <si>
    <t>28815209</t>
  </si>
  <si>
    <t>МУ МПКХ ст.Владимирской</t>
  </si>
  <si>
    <t>2314019302</t>
  </si>
  <si>
    <t>07-07-2006 00:00:00</t>
  </si>
  <si>
    <t>26471081</t>
  </si>
  <si>
    <t>МУ МПКХ ст.Чамлыкской</t>
  </si>
  <si>
    <t>2314019285</t>
  </si>
  <si>
    <t>26470996</t>
  </si>
  <si>
    <t>МУ МПКХ х.Первая Синюха</t>
  </si>
  <si>
    <t>2314019493</t>
  </si>
  <si>
    <t>26468805</t>
  </si>
  <si>
    <t>МУМП ЖКХ "Газырское"</t>
  </si>
  <si>
    <t>2328014600</t>
  </si>
  <si>
    <t>28137056</t>
  </si>
  <si>
    <t>МУМПКХ Каладжинского сельского поселения</t>
  </si>
  <si>
    <t>2314025722</t>
  </si>
  <si>
    <t>28951496</t>
  </si>
  <si>
    <t>МУП  "Федоровский водоканал"</t>
  </si>
  <si>
    <t>2323032500</t>
  </si>
  <si>
    <t>09-02-2015 00:00:00</t>
  </si>
  <si>
    <t>26471364</t>
  </si>
  <si>
    <t>МУП  ЖКХ "Новолеушковское"</t>
  </si>
  <si>
    <t>2346014900</t>
  </si>
  <si>
    <t>30-11-2006 00:00:00</t>
  </si>
  <si>
    <t>28951503</t>
  </si>
  <si>
    <t>МУП " ЖКХ Березанское"</t>
  </si>
  <si>
    <t>2362000559</t>
  </si>
  <si>
    <t>15-01-2015 00:00:00</t>
  </si>
  <si>
    <t>30884848</t>
  </si>
  <si>
    <t>МУП "Батуринский исток"</t>
  </si>
  <si>
    <t>2327014407</t>
  </si>
  <si>
    <t>28-12-2016 00:00:00</t>
  </si>
  <si>
    <t>26468703</t>
  </si>
  <si>
    <t>МУП "Белоглинский водоканал"</t>
  </si>
  <si>
    <t>2326007647</t>
  </si>
  <si>
    <t>26-09-2005 00:00:00</t>
  </si>
  <si>
    <t>26471220</t>
  </si>
  <si>
    <t>МУП "Бесленеевское"</t>
  </si>
  <si>
    <t>2342016455</t>
  </si>
  <si>
    <t>21-04-2006 00:00:00</t>
  </si>
  <si>
    <t>28543804</t>
  </si>
  <si>
    <t>МУП "Благоустройство"</t>
  </si>
  <si>
    <t>2334020232</t>
  </si>
  <si>
    <t>07-05-2014 00:00:00</t>
  </si>
  <si>
    <t>30431947</t>
  </si>
  <si>
    <t>2343009549</t>
  </si>
  <si>
    <t>11-01-2016 00:00:00</t>
  </si>
  <si>
    <t>30920028</t>
  </si>
  <si>
    <t>МУП "Благоустройство-Услуга"</t>
  </si>
  <si>
    <t>2339014345</t>
  </si>
  <si>
    <t>09-06-2017 00:00:00</t>
  </si>
  <si>
    <t>26470967</t>
  </si>
  <si>
    <t>МУП "Варениковское коммунальное хозяйство"</t>
  </si>
  <si>
    <t>2337032846</t>
  </si>
  <si>
    <t>26760633</t>
  </si>
  <si>
    <t>МУП "Варнавинское"</t>
  </si>
  <si>
    <t>2323027035</t>
  </si>
  <si>
    <t>10-10-2007 00:00:00</t>
  </si>
  <si>
    <t>28136324</t>
  </si>
  <si>
    <t>МУП "Водоканал города Новороссийска"</t>
  </si>
  <si>
    <t>2315178760</t>
  </si>
  <si>
    <t>26471374</t>
  </si>
  <si>
    <t>МУП "Водоканал"</t>
  </si>
  <si>
    <t>2347001036</t>
  </si>
  <si>
    <t>07-10-2002 00:00:00</t>
  </si>
  <si>
    <t>31324012</t>
  </si>
  <si>
    <t>МУП "Водоканал" Кропоткинского городского поселения</t>
  </si>
  <si>
    <t>2364017910</t>
  </si>
  <si>
    <t>04-04-2019 00:00:00</t>
  </si>
  <si>
    <t>26470978</t>
  </si>
  <si>
    <t>МУП "Водоканал" города Лабинска</t>
  </si>
  <si>
    <t>2314019408</t>
  </si>
  <si>
    <t>28455329</t>
  </si>
  <si>
    <t>МУП "Восточное"</t>
  </si>
  <si>
    <t>2346018044</t>
  </si>
  <si>
    <t>19-11-2013 00:00:00</t>
  </si>
  <si>
    <t>26468711</t>
  </si>
  <si>
    <t>МУП "Горводоканал"</t>
  </si>
  <si>
    <t>2303024332</t>
  </si>
  <si>
    <t>230301001</t>
  </si>
  <si>
    <t>28981442</t>
  </si>
  <si>
    <t>МУП "Дмитриевское"</t>
  </si>
  <si>
    <t>2364012158</t>
  </si>
  <si>
    <t>16-04-2015 00:00:00</t>
  </si>
  <si>
    <t>26468685</t>
  </si>
  <si>
    <t>МУП "ЖКХ "Холмское"</t>
  </si>
  <si>
    <t>2323000330</t>
  </si>
  <si>
    <t>30-12-2002 00:00:00</t>
  </si>
  <si>
    <t>30803692</t>
  </si>
  <si>
    <t>МУП "ЖКХ Алексее - Тенгинское"</t>
  </si>
  <si>
    <t>2364013514</t>
  </si>
  <si>
    <t>01-03-2016 00:00:00</t>
  </si>
  <si>
    <t>24-07-2024 00:00:00</t>
  </si>
  <si>
    <t>30803686</t>
  </si>
  <si>
    <t>МУП "ЖКХ Марьинское"</t>
  </si>
  <si>
    <t>2364013458</t>
  </si>
  <si>
    <t>26-02-2016 00:00:00</t>
  </si>
  <si>
    <t>28860886</t>
  </si>
  <si>
    <t>МУП "ЖКХ Новоплатнировское"</t>
  </si>
  <si>
    <t>2341016893</t>
  </si>
  <si>
    <t>21-05-2014 00:00:00</t>
  </si>
  <si>
    <t>26406417</t>
  </si>
  <si>
    <t>МУП "ЖКХ Терновского сельского поселения Тихорецкого района"</t>
  </si>
  <si>
    <t>2354009780</t>
  </si>
  <si>
    <t>13-10-2009 00:00:00</t>
  </si>
  <si>
    <t>26355160</t>
  </si>
  <si>
    <t>МУП "ЖКХ города Туапсе"</t>
  </si>
  <si>
    <t>2365001416</t>
  </si>
  <si>
    <t>21-03-2005 00:00:00</t>
  </si>
  <si>
    <t>26470929</t>
  </si>
  <si>
    <t>МУП "ЖКХ" Журавского поселения</t>
  </si>
  <si>
    <t>2335014760</t>
  </si>
  <si>
    <t>26473342</t>
  </si>
  <si>
    <t>МУП "ЖКХ" Пролетарского сельского поселения</t>
  </si>
  <si>
    <t>2335014584</t>
  </si>
  <si>
    <t>26473344</t>
  </si>
  <si>
    <t>МУП "ЖКХ" Раздольненского сельского поселения</t>
  </si>
  <si>
    <t>2335014591</t>
  </si>
  <si>
    <t>26473346</t>
  </si>
  <si>
    <t>МУП "ЖКХ" Сергиевского сельского поселения</t>
  </si>
  <si>
    <t>2335014601</t>
  </si>
  <si>
    <t>26473664</t>
  </si>
  <si>
    <t>МУП "ЖКХ-Курчанское"</t>
  </si>
  <si>
    <t>2352033379</t>
  </si>
  <si>
    <t>14-01-2008 00:00:00</t>
  </si>
  <si>
    <t>31501598</t>
  </si>
  <si>
    <t>МУП "Ильские коммунальные системы"</t>
  </si>
  <si>
    <t>2348042490</t>
  </si>
  <si>
    <t>31-05-2021 00:00:00</t>
  </si>
  <si>
    <t>30851087</t>
  </si>
  <si>
    <t>МУП "Исток"</t>
  </si>
  <si>
    <t>2327013996</t>
  </si>
  <si>
    <t>20-10-2015 00:00:00</t>
  </si>
  <si>
    <t>30873875</t>
  </si>
  <si>
    <t>2327014005</t>
  </si>
  <si>
    <t>28-10-2015 00:00:00</t>
  </si>
  <si>
    <t>31501605</t>
  </si>
  <si>
    <t>МУП "Крюковские коммунальные системы"</t>
  </si>
  <si>
    <t>2348042660</t>
  </si>
  <si>
    <t>26471601</t>
  </si>
  <si>
    <t>МУП "Кубанское"</t>
  </si>
  <si>
    <t>2357006717</t>
  </si>
  <si>
    <t>11-02-2008 00:00:00</t>
  </si>
  <si>
    <t>26470809</t>
  </si>
  <si>
    <t>МУП "Куйбышевское ЖКХ"</t>
  </si>
  <si>
    <t>2333011676</t>
  </si>
  <si>
    <t>26473315</t>
  </si>
  <si>
    <t>МУП "Лосевское"</t>
  </si>
  <si>
    <t>2332017227</t>
  </si>
  <si>
    <t>11-12-2006 00:00:00</t>
  </si>
  <si>
    <t>26471237</t>
  </si>
  <si>
    <t>МУП "Махошевское"</t>
  </si>
  <si>
    <t>2342016462</t>
  </si>
  <si>
    <t>26-04-2006 00:00:00</t>
  </si>
  <si>
    <t>28435983</t>
  </si>
  <si>
    <t>МУП "Мирское"</t>
  </si>
  <si>
    <t>2364007863</t>
  </si>
  <si>
    <t>04-12-2012 00:00:00</t>
  </si>
  <si>
    <t>26471193</t>
  </si>
  <si>
    <t>МУП "Мостводоканал"</t>
  </si>
  <si>
    <t>2342016399</t>
  </si>
  <si>
    <t>24-03-2006 00:00:00</t>
  </si>
  <si>
    <t>31669960</t>
  </si>
  <si>
    <t>МУП "НКС"</t>
  </si>
  <si>
    <t>2348043945</t>
  </si>
  <si>
    <t>11-04-2023 00:00:00</t>
  </si>
  <si>
    <t>26471258</t>
  </si>
  <si>
    <t>МУП "Новокубанский городской водоканал"</t>
  </si>
  <si>
    <t>2343015616</t>
  </si>
  <si>
    <t>31296655</t>
  </si>
  <si>
    <t>МУП "Новомихайловское ВКХ"</t>
  </si>
  <si>
    <t>2365027333</t>
  </si>
  <si>
    <t>31073938</t>
  </si>
  <si>
    <t>МУП "Новомихайловское благоустройство и архитектура"</t>
  </si>
  <si>
    <t>2365014172</t>
  </si>
  <si>
    <t>25-07-2024 00:00:00</t>
  </si>
  <si>
    <t>26530408</t>
  </si>
  <si>
    <t>МУП "Новый путь"</t>
  </si>
  <si>
    <t>2343019459</t>
  </si>
  <si>
    <t>05-02-2008 00:00:00</t>
  </si>
  <si>
    <t>26468697</t>
  </si>
  <si>
    <t>МУП "Ольгинское ЖКХ"</t>
  </si>
  <si>
    <t>2323024764</t>
  </si>
  <si>
    <t>19-12-2005 00:00:00</t>
  </si>
  <si>
    <t>26471610</t>
  </si>
  <si>
    <t>МУП "Параллель"</t>
  </si>
  <si>
    <t>2357006587</t>
  </si>
  <si>
    <t>31436599</t>
  </si>
  <si>
    <t>МУП "Первореченское"</t>
  </si>
  <si>
    <t>2373018188</t>
  </si>
  <si>
    <t>17-07-2020 00:00:00</t>
  </si>
  <si>
    <t>27115749</t>
  </si>
  <si>
    <t>МУП "Песчаное ЖКХ"</t>
  </si>
  <si>
    <t>2364001935</t>
  </si>
  <si>
    <t>12-09-2012 00:00:00</t>
  </si>
  <si>
    <t>27690149</t>
  </si>
  <si>
    <t>МУП "По благоустройству территории Ванновского сельского поселения Тбилисского района"</t>
  </si>
  <si>
    <t>2351012295</t>
  </si>
  <si>
    <t>01-03-2012 00:00:00</t>
  </si>
  <si>
    <t>30803716</t>
  </si>
  <si>
    <t>МУП "По благоустройству территории Геймановского сельского поселения Тбилисского района"</t>
  </si>
  <si>
    <t>2364013440</t>
  </si>
  <si>
    <t>04-02-2016 00:00:00</t>
  </si>
  <si>
    <t>27115698</t>
  </si>
  <si>
    <t>МУП "По благоустройству территории Ловлинского сельского поселения"</t>
  </si>
  <si>
    <t>2351012062</t>
  </si>
  <si>
    <t>12-09-2011 00:00:00</t>
  </si>
  <si>
    <t>26760273</t>
  </si>
  <si>
    <t>МУП "По благоустройству территории Нововладимирского сельского поселения"</t>
  </si>
  <si>
    <t>2351011647</t>
  </si>
  <si>
    <t>02-02-2011 00:00:00</t>
  </si>
  <si>
    <t>26477065</t>
  </si>
  <si>
    <t>МУП "Поселенческий водопровод"</t>
  </si>
  <si>
    <t>2360002180</t>
  </si>
  <si>
    <t>30395497</t>
  </si>
  <si>
    <t>МУП "Привольное"</t>
  </si>
  <si>
    <t>2364012662</t>
  </si>
  <si>
    <t>01-01-2016 00:00:00</t>
  </si>
  <si>
    <t>31495558</t>
  </si>
  <si>
    <t>МУП "Прочный Окоп"</t>
  </si>
  <si>
    <t>2372027775</t>
  </si>
  <si>
    <t>26471200</t>
  </si>
  <si>
    <t>МУП "Псебайводоканал"</t>
  </si>
  <si>
    <t>2342016423</t>
  </si>
  <si>
    <t>30-03-2006 00:00:00</t>
  </si>
  <si>
    <t>27581124</t>
  </si>
  <si>
    <t>МУП "Райводоканал"</t>
  </si>
  <si>
    <t>2365018106</t>
  </si>
  <si>
    <t>20-05-2011 00:00:00</t>
  </si>
  <si>
    <t>26468834</t>
  </si>
  <si>
    <t>МУП "Родник"</t>
  </si>
  <si>
    <t>2330016852</t>
  </si>
  <si>
    <t>27678020</t>
  </si>
  <si>
    <t>МУП "Советское МКХ"</t>
  </si>
  <si>
    <t>2372001880</t>
  </si>
  <si>
    <t>14-02-2012 00:00:00</t>
  </si>
  <si>
    <t>26473430</t>
  </si>
  <si>
    <t>МУП "Стимул"</t>
  </si>
  <si>
    <t>2343019385</t>
  </si>
  <si>
    <t>30-11-2007 00:00:00</t>
  </si>
  <si>
    <t>26473640</t>
  </si>
  <si>
    <t>МУП "ТУ ЖКХ"</t>
  </si>
  <si>
    <t>2352040305</t>
  </si>
  <si>
    <t>12-12-2006 00:00:00</t>
  </si>
  <si>
    <t>26473414</t>
  </si>
  <si>
    <t>МУП "Унароковское"</t>
  </si>
  <si>
    <t>2342018004</t>
  </si>
  <si>
    <t>09-10-2008 00:00:00</t>
  </si>
  <si>
    <t>31490366</t>
  </si>
  <si>
    <t>МУП "Упорненское"</t>
  </si>
  <si>
    <t>2346019182</t>
  </si>
  <si>
    <t>08-04-2021 00:00:00</t>
  </si>
  <si>
    <t>26471618</t>
  </si>
  <si>
    <t>МУП "Уруп"</t>
  </si>
  <si>
    <t>2357006690</t>
  </si>
  <si>
    <t>14-01-2010 00:00:00</t>
  </si>
  <si>
    <t>28455403</t>
  </si>
  <si>
    <t>МУП "Успенский водоканал"</t>
  </si>
  <si>
    <t>2372006937</t>
  </si>
  <si>
    <t>02-10-2013 00:00:00</t>
  </si>
  <si>
    <t>26472870</t>
  </si>
  <si>
    <t>МУП "Успенское хозяйственное объединение"</t>
  </si>
  <si>
    <t>2326008400</t>
  </si>
  <si>
    <t>18-10-2007 00:00:00</t>
  </si>
  <si>
    <t>26473575</t>
  </si>
  <si>
    <t>МУП "Уют"</t>
  </si>
  <si>
    <t>2347013031</t>
  </si>
  <si>
    <t>26-06-2007 00:00:00</t>
  </si>
  <si>
    <t>26468705</t>
  </si>
  <si>
    <t>МУП "Центральное хозяйственное объединение"</t>
  </si>
  <si>
    <t>2326008175</t>
  </si>
  <si>
    <t>28-09-2006 00:00:00</t>
  </si>
  <si>
    <t>30855275</t>
  </si>
  <si>
    <t>МУП "Чепигинское"</t>
  </si>
  <si>
    <t>2327014340</t>
  </si>
  <si>
    <t>14-11-2016 00:00:00</t>
  </si>
  <si>
    <t>26471244</t>
  </si>
  <si>
    <t>МУП "Ярославское"</t>
  </si>
  <si>
    <t>2342016416</t>
  </si>
  <si>
    <t>28133583</t>
  </si>
  <si>
    <t>МУП «Водоканал»</t>
  </si>
  <si>
    <t>2360006114</t>
  </si>
  <si>
    <t>12-12-2012 00:00:00</t>
  </si>
  <si>
    <t>26471231</t>
  </si>
  <si>
    <t>МУП «Водоканал» Краснокутского с/п</t>
  </si>
  <si>
    <t>2342016374</t>
  </si>
  <si>
    <t>21-03-2006 00:00:00</t>
  </si>
  <si>
    <t>28445741</t>
  </si>
  <si>
    <t>МУП «ЖКХ Бородинское»</t>
  </si>
  <si>
    <t>2347015670</t>
  </si>
  <si>
    <t>14-08-2013 00:00:00</t>
  </si>
  <si>
    <t>26468215</t>
  </si>
  <si>
    <t>МУП ВКХ "Водоканал"</t>
  </si>
  <si>
    <t>2311014031</t>
  </si>
  <si>
    <t>28-10-2002 00:00:00</t>
  </si>
  <si>
    <t>30395432</t>
  </si>
  <si>
    <t>МУП ЖКХ "Атаманское"</t>
  </si>
  <si>
    <t>2346017795</t>
  </si>
  <si>
    <t>26471203</t>
  </si>
  <si>
    <t>МУП ЖКХ "Беноковское"</t>
  </si>
  <si>
    <t>2342016670</t>
  </si>
  <si>
    <t>07-08-2006 00:00:00</t>
  </si>
  <si>
    <t>26473568</t>
  </si>
  <si>
    <t>МУП ЖКХ "Бриньковское"</t>
  </si>
  <si>
    <t>2347013296</t>
  </si>
  <si>
    <t>14-02-2008 00:00:00</t>
  </si>
  <si>
    <t>26471178</t>
  </si>
  <si>
    <t>МУП ЖКХ "Восточное"</t>
  </si>
  <si>
    <t>2341013973</t>
  </si>
  <si>
    <t>25-07-2007 00:00:00</t>
  </si>
  <si>
    <t>26468605</t>
  </si>
  <si>
    <t>МУП ЖКХ "Корсунское"</t>
  </si>
  <si>
    <t>2312091310</t>
  </si>
  <si>
    <t>20-12-2002 00:00:00</t>
  </si>
  <si>
    <t>28270526</t>
  </si>
  <si>
    <t>МУП ЖКХ "Незаймановский"</t>
  </si>
  <si>
    <t>2369001897</t>
  </si>
  <si>
    <t>15-04-2013 00:00:00</t>
  </si>
  <si>
    <t>26473531</t>
  </si>
  <si>
    <t>МУП ЖКХ "Новопетровское сельское поселение"</t>
  </si>
  <si>
    <t>2346016079</t>
  </si>
  <si>
    <t>13-05-2009 00:00:00</t>
  </si>
  <si>
    <t>26473570</t>
  </si>
  <si>
    <t>МУП ЖКХ "Ольгинское"</t>
  </si>
  <si>
    <t>2347012870</t>
  </si>
  <si>
    <t>18-03-2007 00:00:00</t>
  </si>
  <si>
    <t>26471240</t>
  </si>
  <si>
    <t>МУП ЖКХ "Переправненское"</t>
  </si>
  <si>
    <t>2342016695</t>
  </si>
  <si>
    <t>08-08-2006 00:00:00</t>
  </si>
  <si>
    <t>28446089</t>
  </si>
  <si>
    <t>МУП ЖКХ "Поселковое"</t>
  </si>
  <si>
    <t>2369002347</t>
  </si>
  <si>
    <t>03-10-2013 00:00:00</t>
  </si>
  <si>
    <t>26473572</t>
  </si>
  <si>
    <t>МУП ЖКХ "Приазовское"</t>
  </si>
  <si>
    <t>2347012951</t>
  </si>
  <si>
    <t>27-04-2007 00:00:00</t>
  </si>
  <si>
    <t>26473537</t>
  </si>
  <si>
    <t>МУП ЖКХ "Северное"</t>
  </si>
  <si>
    <t>2346015950</t>
  </si>
  <si>
    <t>08-12-2008 00:00:00</t>
  </si>
  <si>
    <t>26471370</t>
  </si>
  <si>
    <t>МУП ЖКХ "Среднечелбасское сельское поселение"</t>
  </si>
  <si>
    <t>2346015533</t>
  </si>
  <si>
    <t>26-12-2007 00:00:00</t>
  </si>
  <si>
    <t>26473336</t>
  </si>
  <si>
    <t>МУП ЖКХ "Станица"</t>
  </si>
  <si>
    <t>2335065067</t>
  </si>
  <si>
    <t>28829908</t>
  </si>
  <si>
    <t>МУП ЖКХ "Универсал плюс"</t>
  </si>
  <si>
    <t>2369003044</t>
  </si>
  <si>
    <t>09-07-2014 00:00:00</t>
  </si>
  <si>
    <t>28038493</t>
  </si>
  <si>
    <t>МУП ЖКХ «Кубанец»</t>
  </si>
  <si>
    <t>2369001270</t>
  </si>
  <si>
    <t>09-06-2012 00:00:00</t>
  </si>
  <si>
    <t>26406092</t>
  </si>
  <si>
    <t>МУП ЖКХ Павловского сельского поселения Павловского района</t>
  </si>
  <si>
    <t>2346001210</t>
  </si>
  <si>
    <t>22-11-2001 00:00:00</t>
  </si>
  <si>
    <t>26470888</t>
  </si>
  <si>
    <t>МУП Кореновского городского поселения "ЖКХ"</t>
  </si>
  <si>
    <t>2335013397</t>
  </si>
  <si>
    <t>28142566</t>
  </si>
  <si>
    <t>МУП МО Староминский район  "Служба водоснабжения"</t>
  </si>
  <si>
    <t>2350012430</t>
  </si>
  <si>
    <t>25-12-2012 00:00:00</t>
  </si>
  <si>
    <t>31402662</t>
  </si>
  <si>
    <t>МУП МО Усть-Лабинского района "Водоканал"</t>
  </si>
  <si>
    <t>2373017106</t>
  </si>
  <si>
    <t>26473559</t>
  </si>
  <si>
    <t>МУП НП «Водоканал»</t>
  </si>
  <si>
    <t>2347013024</t>
  </si>
  <si>
    <t>14-06-2007 00:00:00</t>
  </si>
  <si>
    <t>26470850</t>
  </si>
  <si>
    <t>МУП Новоминского сельского поселения "Благоустройство"</t>
  </si>
  <si>
    <t>2334020225</t>
  </si>
  <si>
    <t>26473340</t>
  </si>
  <si>
    <t>МУП Платнировский "Универсал"</t>
  </si>
  <si>
    <t>2335014626</t>
  </si>
  <si>
    <t>26473579</t>
  </si>
  <si>
    <t>МУП СП "Благоустройство"</t>
  </si>
  <si>
    <t>2347012888</t>
  </si>
  <si>
    <t>26471516</t>
  </si>
  <si>
    <t>МУП ТГП ТР "Водоканал"</t>
  </si>
  <si>
    <t>2321003007</t>
  </si>
  <si>
    <t>31438659</t>
  </si>
  <si>
    <t>МУП ТГП ТР "Темрюк-Водоканал"</t>
  </si>
  <si>
    <t>2352056640</t>
  </si>
  <si>
    <t>17-08-2020 00:00:00</t>
  </si>
  <si>
    <t>31437116</t>
  </si>
  <si>
    <t>МУП ЧСП БР "Черниговское"</t>
  </si>
  <si>
    <t>2368013480</t>
  </si>
  <si>
    <t>26-03-2020 00:00:00</t>
  </si>
  <si>
    <t>30371584</t>
  </si>
  <si>
    <t>МУП Челбасского сельского поселения Каневского района "Родник"</t>
  </si>
  <si>
    <t>2334025689</t>
  </si>
  <si>
    <t>01-11-2015 00:00:00</t>
  </si>
  <si>
    <t>28446276</t>
  </si>
  <si>
    <t>МУП г. Горячий Ключ "Водоканал"</t>
  </si>
  <si>
    <t>2305028371</t>
  </si>
  <si>
    <t>26468206</t>
  </si>
  <si>
    <t>МУП муниципального образования город-курорт Геленджик "Водопроводно-канализационное хозяйство"</t>
  </si>
  <si>
    <t>2304012611</t>
  </si>
  <si>
    <t>26468687</t>
  </si>
  <si>
    <t>МУП"ЖКХ"Мингрельское"</t>
  </si>
  <si>
    <t>2323024500</t>
  </si>
  <si>
    <t>18-11-2005 00:00:00</t>
  </si>
  <si>
    <t>26471176</t>
  </si>
  <si>
    <t>МУПЖКХ "Коммунальщик"</t>
  </si>
  <si>
    <t>2341014624</t>
  </si>
  <si>
    <t>01-08-2008 00:00:00</t>
  </si>
  <si>
    <t>28860779</t>
  </si>
  <si>
    <t>МУПЖКХ "Октябрьский"</t>
  </si>
  <si>
    <t>2341016886</t>
  </si>
  <si>
    <t>14-05-2014 00:00:00</t>
  </si>
  <si>
    <t>26470807</t>
  </si>
  <si>
    <t>Новониколаевское МУП "Гарант-Сервис"</t>
  </si>
  <si>
    <t>2333011725</t>
  </si>
  <si>
    <t>26470833</t>
  </si>
  <si>
    <t>ОАО "Агрофирма- племзавод "Победа"</t>
  </si>
  <si>
    <t>2334001455</t>
  </si>
  <si>
    <t>26468677</t>
  </si>
  <si>
    <t>ОАО "ВОДОКАНАЛ"</t>
  </si>
  <si>
    <t>2323026257</t>
  </si>
  <si>
    <t>07-12-2006 00:00:00</t>
  </si>
  <si>
    <t>26470827</t>
  </si>
  <si>
    <t>ОАО "Водопровод"</t>
  </si>
  <si>
    <t>2334021204</t>
  </si>
  <si>
    <t>26470868</t>
  </si>
  <si>
    <t>ОАО "ЖКУ"</t>
  </si>
  <si>
    <t>2334021236</t>
  </si>
  <si>
    <t>26471483</t>
  </si>
  <si>
    <t>ОАО Кондитерский комбинат "Кубань"</t>
  </si>
  <si>
    <t>2353005631</t>
  </si>
  <si>
    <t>04-11-1992 00:00:00</t>
  </si>
  <si>
    <t>28435972</t>
  </si>
  <si>
    <t>ООО "Агроснаб-1"</t>
  </si>
  <si>
    <t>2303028200</t>
  </si>
  <si>
    <t>28877485</t>
  </si>
  <si>
    <t>ООО "Азовский водоканал"</t>
  </si>
  <si>
    <t>2348036056</t>
  </si>
  <si>
    <t>17-03-2014 00:00:00</t>
  </si>
  <si>
    <t>31717716</t>
  </si>
  <si>
    <t>ООО "Аквалинии"</t>
  </si>
  <si>
    <t>2364022300</t>
  </si>
  <si>
    <t>21-09-2023 00:00:00</t>
  </si>
  <si>
    <t>31452511</t>
  </si>
  <si>
    <t>ООО "Аквапрофиль"</t>
  </si>
  <si>
    <t>2312279672</t>
  </si>
  <si>
    <t>05-02-2019 00:00:00</t>
  </si>
  <si>
    <t>26473704</t>
  </si>
  <si>
    <t>ООО "Ани"</t>
  </si>
  <si>
    <t>2354008018</t>
  </si>
  <si>
    <t>26468737</t>
  </si>
  <si>
    <t>ООО "Брюховецкое водопроводное хозяйство"</t>
  </si>
  <si>
    <t>2327009679</t>
  </si>
  <si>
    <t>31641947</t>
  </si>
  <si>
    <t>ООО "ВОДОКАНАЛ СЕРВИС"</t>
  </si>
  <si>
    <t>2311335846</t>
  </si>
  <si>
    <t>01-12-2022 00:00:00</t>
  </si>
  <si>
    <t>31641966</t>
  </si>
  <si>
    <t>ООО "ВОДОКАНАЛ ЮГ"</t>
  </si>
  <si>
    <t>2311303033</t>
  </si>
  <si>
    <t>31080021</t>
  </si>
  <si>
    <t>ООО "ВСВ -Водоканал"</t>
  </si>
  <si>
    <t>2311158509</t>
  </si>
  <si>
    <t>10-04-2018 00:00:00</t>
  </si>
  <si>
    <t>31254823</t>
  </si>
  <si>
    <t>ООО "Вишневый сад"</t>
  </si>
  <si>
    <t>2311180198</t>
  </si>
  <si>
    <t>02-10-2014 00:00:00</t>
  </si>
  <si>
    <t>31382327</t>
  </si>
  <si>
    <t>ООО "ВодСнабСервис"</t>
  </si>
  <si>
    <t>2315211721</t>
  </si>
  <si>
    <t>30-04-2019 00:00:00</t>
  </si>
  <si>
    <t>26472965</t>
  </si>
  <si>
    <t>ООО "Вода и канализация"</t>
  </si>
  <si>
    <t>2318032696</t>
  </si>
  <si>
    <t>30920779</t>
  </si>
  <si>
    <t>ООО "Водоканал Крымск"</t>
  </si>
  <si>
    <t>2337034674</t>
  </si>
  <si>
    <t>05-05-2016 00:00:00</t>
  </si>
  <si>
    <t>30796117</t>
  </si>
  <si>
    <t>ООО "Водоканал"</t>
  </si>
  <si>
    <t>2310120238</t>
  </si>
  <si>
    <t>19-12-2006 00:00:00</t>
  </si>
  <si>
    <t>26470803</t>
  </si>
  <si>
    <t>2333011443</t>
  </si>
  <si>
    <t>27991628</t>
  </si>
  <si>
    <t>2373001280</t>
  </si>
  <si>
    <t>02-11-2012 00:00:00</t>
  </si>
  <si>
    <t>30843148</t>
  </si>
  <si>
    <t>ООО "Водолей"</t>
  </si>
  <si>
    <t>2311160410</t>
  </si>
  <si>
    <t>17-07-2013 00:00:00</t>
  </si>
  <si>
    <t>30803500</t>
  </si>
  <si>
    <t>ООО "Водопровод"</t>
  </si>
  <si>
    <t>2303026121</t>
  </si>
  <si>
    <t>15-11-2010 00:00:00</t>
  </si>
  <si>
    <t>26468713</t>
  </si>
  <si>
    <t>ООО "Водоснабжение и канализация"</t>
  </si>
  <si>
    <t>2303025583</t>
  </si>
  <si>
    <t>26471512</t>
  </si>
  <si>
    <t>ООО "Водоснабжение"</t>
  </si>
  <si>
    <t>2353023951</t>
  </si>
  <si>
    <t>21-08-2007 00:00:00</t>
  </si>
  <si>
    <t>28033417</t>
  </si>
  <si>
    <t>ООО "Водсервис"</t>
  </si>
  <si>
    <t>2332017636</t>
  </si>
  <si>
    <t>12-12-2007 00:00:00</t>
  </si>
  <si>
    <t>26529716</t>
  </si>
  <si>
    <t>ООО "Газпром добыча Астрахань" оздоровительный центр "Санаторий "Юг"</t>
  </si>
  <si>
    <t>3006006420</t>
  </si>
  <si>
    <t>26538151</t>
  </si>
  <si>
    <t>ООО "Газпром трансгаз Москва" филиал санаторий "Голубая горка" отделение талассотерапии</t>
  </si>
  <si>
    <t>5003028028</t>
  </si>
  <si>
    <t>235232002</t>
  </si>
  <si>
    <t>26576140</t>
  </si>
  <si>
    <t>ООО "Газпром трансгаз Сургут"</t>
  </si>
  <si>
    <t>8617002073</t>
  </si>
  <si>
    <t>997250001</t>
  </si>
  <si>
    <t>30-01-2002 00:00:00</t>
  </si>
  <si>
    <t>30939758</t>
  </si>
  <si>
    <t>ООО "Гирей-Сахар"</t>
  </si>
  <si>
    <t>2364009860</t>
  </si>
  <si>
    <t>01-07-2017 00:00:00</t>
  </si>
  <si>
    <t>31237467</t>
  </si>
  <si>
    <t>ООО "Дельта"</t>
  </si>
  <si>
    <t>2308082850</t>
  </si>
  <si>
    <t>06-02-2002 00:00:00</t>
  </si>
  <si>
    <t>26652839</t>
  </si>
  <si>
    <t>ООО "Детский лечебно-оздоровительный комплекс "Детство"</t>
  </si>
  <si>
    <t>2318022144</t>
  </si>
  <si>
    <t>27674858</t>
  </si>
  <si>
    <t>ООО "ЕйскВодоканал"</t>
  </si>
  <si>
    <t>2361007449</t>
  </si>
  <si>
    <t>28446121</t>
  </si>
  <si>
    <t>ООО "Жилкомплекс"</t>
  </si>
  <si>
    <t>2370002969</t>
  </si>
  <si>
    <t>25-09-2013 00:00:00</t>
  </si>
  <si>
    <t>26473609</t>
  </si>
  <si>
    <t>ООО "Жилкомуслуги"</t>
  </si>
  <si>
    <t>2349025610</t>
  </si>
  <si>
    <t>12-07-2005 00:00:00</t>
  </si>
  <si>
    <t>28446156</t>
  </si>
  <si>
    <t>ООО "Жилкомфорт"</t>
  </si>
  <si>
    <t>2370002951</t>
  </si>
  <si>
    <t>27755953</t>
  </si>
  <si>
    <t>ООО "ИВ-консалтинг"</t>
  </si>
  <si>
    <t>2340019323</t>
  </si>
  <si>
    <t>31475207</t>
  </si>
  <si>
    <t>ООО "КВС"</t>
  </si>
  <si>
    <t>2308268773</t>
  </si>
  <si>
    <t>26319818</t>
  </si>
  <si>
    <t>ООО "ККЗБ"</t>
  </si>
  <si>
    <t>2311178167</t>
  </si>
  <si>
    <t>19-08-2014 00:00:00</t>
  </si>
  <si>
    <t>28817820</t>
  </si>
  <si>
    <t>ООО "КЭСК"</t>
  </si>
  <si>
    <t>2308101615</t>
  </si>
  <si>
    <t>28467298</t>
  </si>
  <si>
    <t>ООО "Калининский водоканал"</t>
  </si>
  <si>
    <t>2311162294</t>
  </si>
  <si>
    <t>04-09-2013 00:00:00</t>
  </si>
  <si>
    <t>26468525</t>
  </si>
  <si>
    <t>ООО "Коммунальная энерго-сервисная компания"</t>
  </si>
  <si>
    <t>13-09-2004 00:00:00</t>
  </si>
  <si>
    <t>26475696</t>
  </si>
  <si>
    <t>ООО "Коммунальник"</t>
  </si>
  <si>
    <t>2353246210</t>
  </si>
  <si>
    <t>20-06-2008 00:00:00</t>
  </si>
  <si>
    <t>26562364</t>
  </si>
  <si>
    <t>2373008060</t>
  </si>
  <si>
    <t>26471295</t>
  </si>
  <si>
    <t>ООО "Коммунальщик"</t>
  </si>
  <si>
    <t>2343017973</t>
  </si>
  <si>
    <t>23-12-2005 00:00:00</t>
  </si>
  <si>
    <t>28822349</t>
  </si>
  <si>
    <t>2361011886</t>
  </si>
  <si>
    <t>01-10-2014 00:00:00</t>
  </si>
  <si>
    <t>26470860</t>
  </si>
  <si>
    <t>ООО "Консервное предприятие  Русское поле - Албаши"</t>
  </si>
  <si>
    <t>2334018297</t>
  </si>
  <si>
    <t>31316819</t>
  </si>
  <si>
    <t>ООО "Концессии водоснабжения-Геленджик"</t>
  </si>
  <si>
    <t>2304073741</t>
  </si>
  <si>
    <t>29-08-2018 00:00:00</t>
  </si>
  <si>
    <t>26319792</t>
  </si>
  <si>
    <t>ООО "Краснодар Водоканал"</t>
  </si>
  <si>
    <t>2308111927</t>
  </si>
  <si>
    <t>01-11-2005 00:00:00</t>
  </si>
  <si>
    <t>31286790</t>
  </si>
  <si>
    <t>ООО "Краснодарзернопродукт -Экспо"</t>
  </si>
  <si>
    <t>2310105350</t>
  </si>
  <si>
    <t>01-01-2019 00:00:00</t>
  </si>
  <si>
    <t>28858932</t>
  </si>
  <si>
    <t>ООО "Кубаньводоканал"</t>
  </si>
  <si>
    <t>2312210286</t>
  </si>
  <si>
    <t>13-01-2014 00:00:00</t>
  </si>
  <si>
    <t>26471089</t>
  </si>
  <si>
    <t>ООО "ЛенВодоканал"</t>
  </si>
  <si>
    <t>2341015473</t>
  </si>
  <si>
    <t>12-04-2010 00:00:00</t>
  </si>
  <si>
    <t>28455265</t>
  </si>
  <si>
    <t>ООО "Мортранссервис - НХБ"</t>
  </si>
  <si>
    <t>2315025933</t>
  </si>
  <si>
    <t>16-01-2014 00:00:00</t>
  </si>
  <si>
    <t>26482207</t>
  </si>
  <si>
    <t>ООО "Наш хутор"</t>
  </si>
  <si>
    <t>2353024338</t>
  </si>
  <si>
    <t>09-11-2007 00:00:00</t>
  </si>
  <si>
    <t>26471510</t>
  </si>
  <si>
    <t>ООО "Нимфа"</t>
  </si>
  <si>
    <t>2353023983</t>
  </si>
  <si>
    <t>30-08-2007 00:00:00</t>
  </si>
  <si>
    <t>26649162</t>
  </si>
  <si>
    <t>ООО "Новодеревянковский водозабор"</t>
  </si>
  <si>
    <t>2334022543</t>
  </si>
  <si>
    <t>31519925</t>
  </si>
  <si>
    <t>ООО "Новоросметалл"</t>
  </si>
  <si>
    <t>2315057727</t>
  </si>
  <si>
    <t>15-07-2021 00:00:00</t>
  </si>
  <si>
    <t>31562428</t>
  </si>
  <si>
    <t>ООО "Новый путь"</t>
  </si>
  <si>
    <t>2363001989</t>
  </si>
  <si>
    <t>236301001</t>
  </si>
  <si>
    <t>16-02-2022 00:00:00</t>
  </si>
  <si>
    <t>30371642</t>
  </si>
  <si>
    <t>ООО "ОВК"</t>
  </si>
  <si>
    <t>2311183939</t>
  </si>
  <si>
    <t>10-12-2014 00:00:00</t>
  </si>
  <si>
    <t>28868075</t>
  </si>
  <si>
    <t>ООО "ОЧИСТНЫЕ СООРУЖЕНИЯ"</t>
  </si>
  <si>
    <t>2342019696</t>
  </si>
  <si>
    <t>15-11-2013 00:00:00</t>
  </si>
  <si>
    <t>26468585</t>
  </si>
  <si>
    <t>ООО "Пашковское - Сервис"</t>
  </si>
  <si>
    <t>2312027393</t>
  </si>
  <si>
    <t>28-03-2003 00:00:00</t>
  </si>
  <si>
    <t>26471347</t>
  </si>
  <si>
    <t>ООО "Попутненское водопроводное хозяйство"</t>
  </si>
  <si>
    <t>2345010645</t>
  </si>
  <si>
    <t>13-10-2010 00:00:00</t>
  </si>
  <si>
    <t>26473400</t>
  </si>
  <si>
    <t>ООО "Предприятие "Родник"</t>
  </si>
  <si>
    <t>2340019362</t>
  </si>
  <si>
    <t>31746938</t>
  </si>
  <si>
    <t>ООО "РВК-Юг"</t>
  </si>
  <si>
    <t>7730263559</t>
  </si>
  <si>
    <t>30913372</t>
  </si>
  <si>
    <t>ООО "Радар-02"</t>
  </si>
  <si>
    <t>2356041451</t>
  </si>
  <si>
    <t>10-05-2017 00:00:00</t>
  </si>
  <si>
    <t>31452499</t>
  </si>
  <si>
    <t>ООО "Регион Партнер Плюс"</t>
  </si>
  <si>
    <t>2312248843</t>
  </si>
  <si>
    <t>04-08-2016 00:00:00</t>
  </si>
  <si>
    <t>31082223</t>
  </si>
  <si>
    <t>ООО "Родник"</t>
  </si>
  <si>
    <t>2348039748</t>
  </si>
  <si>
    <t>27544516</t>
  </si>
  <si>
    <t>ООО "СЗ "Стройэлектросевкавмонтаж"</t>
  </si>
  <si>
    <t>2310056286</t>
  </si>
  <si>
    <t>05-02-2003 00:00:00</t>
  </si>
  <si>
    <t>31618382</t>
  </si>
  <si>
    <t>ООО "СИТ"</t>
  </si>
  <si>
    <t>2309157473</t>
  </si>
  <si>
    <t>230901100</t>
  </si>
  <si>
    <t>21-09-2022 00:00:00</t>
  </si>
  <si>
    <t>28981246</t>
  </si>
  <si>
    <t>ООО "Северский водоканал"</t>
  </si>
  <si>
    <t>2348036144</t>
  </si>
  <si>
    <t>15-04-2014 00:00:00</t>
  </si>
  <si>
    <t>28446350</t>
  </si>
  <si>
    <t>ООО "Смоленский водоканал"</t>
  </si>
  <si>
    <t>2348034877</t>
  </si>
  <si>
    <t>234880000</t>
  </si>
  <si>
    <t>29-04-2013 00:00:00</t>
  </si>
  <si>
    <t>28141893</t>
  </si>
  <si>
    <t>ООО "Сочиводоканал"</t>
  </si>
  <si>
    <t>2320210667</t>
  </si>
  <si>
    <t>31366241</t>
  </si>
  <si>
    <t>ООО "Спектр - Инвест"</t>
  </si>
  <si>
    <t>2308219215</t>
  </si>
  <si>
    <t>24-12-2019 00:00:00</t>
  </si>
  <si>
    <t>31197109</t>
  </si>
  <si>
    <t>ООО "Специализированный Застройщик "Стройэлектросевкавмонтаж"</t>
  </si>
  <si>
    <t>01-08-2018 00:00:00</t>
  </si>
  <si>
    <t>26560527</t>
  </si>
  <si>
    <t>ООО "Техкомбытсервис"</t>
  </si>
  <si>
    <t>2353246933</t>
  </si>
  <si>
    <t>18-03-2009 00:00:00</t>
  </si>
  <si>
    <t>30791641</t>
  </si>
  <si>
    <t>ООО "Тимашевский сахарный завод"</t>
  </si>
  <si>
    <t>2334024068</t>
  </si>
  <si>
    <t>26562799</t>
  </si>
  <si>
    <t>ООО "Транс-Водоканал"</t>
  </si>
  <si>
    <t>2348031315</t>
  </si>
  <si>
    <t>21-07-2010 00:00:00</t>
  </si>
  <si>
    <t>26470886</t>
  </si>
  <si>
    <t>ООО "Универсал"</t>
  </si>
  <si>
    <t>2334022173</t>
  </si>
  <si>
    <t>31349851</t>
  </si>
  <si>
    <t>ООО "УралСтройИнвест"</t>
  </si>
  <si>
    <t>6672168414</t>
  </si>
  <si>
    <t>668501001</t>
  </si>
  <si>
    <t>31452505</t>
  </si>
  <si>
    <t>ООО "Центр - Актив"</t>
  </si>
  <si>
    <t>2308124066</t>
  </si>
  <si>
    <t>10-11-2006 00:00:00</t>
  </si>
  <si>
    <t>28543927</t>
  </si>
  <si>
    <t>ООО "Черноерковское ЖКХ"</t>
  </si>
  <si>
    <t>2370002180</t>
  </si>
  <si>
    <t>04-02-2013 00:00:00</t>
  </si>
  <si>
    <t>28056139</t>
  </si>
  <si>
    <t>ООО "Щербиновский коммунальщик"</t>
  </si>
  <si>
    <t>2361008770</t>
  </si>
  <si>
    <t>01-09-2012 00:00:00</t>
  </si>
  <si>
    <t>26475760</t>
  </si>
  <si>
    <t>ООО "Энергосервис"</t>
  </si>
  <si>
    <t>2354007350</t>
  </si>
  <si>
    <t>20-01-2010 00:00:00</t>
  </si>
  <si>
    <t>31452488</t>
  </si>
  <si>
    <t>ООО "ЮнитКомм"</t>
  </si>
  <si>
    <t>2312291119</t>
  </si>
  <si>
    <t>06-03-2020 00:00:00</t>
  </si>
  <si>
    <t>28870457</t>
  </si>
  <si>
    <t>ООО «КУБ-С»</t>
  </si>
  <si>
    <t>2312201972</t>
  </si>
  <si>
    <t>12-04-2013 00:00:00</t>
  </si>
  <si>
    <t>26551273</t>
  </si>
  <si>
    <t>ООО «Крамис-К»</t>
  </si>
  <si>
    <t>2312230691</t>
  </si>
  <si>
    <t>03-07-2015 00:00:00</t>
  </si>
  <si>
    <t>26568272</t>
  </si>
  <si>
    <t>ООО «Львовский водоканал»</t>
  </si>
  <si>
    <t>2348028993</t>
  </si>
  <si>
    <t>22-01-2009 00:00:00</t>
  </si>
  <si>
    <t>26551242</t>
  </si>
  <si>
    <t>ООО «УК Ритейл-парк»</t>
  </si>
  <si>
    <t>2312132503</t>
  </si>
  <si>
    <t>02-11-2006 00:00:00</t>
  </si>
  <si>
    <t>31596715</t>
  </si>
  <si>
    <t>ООО РСО "РЕСУРС-ЮГ"</t>
  </si>
  <si>
    <t>2311295544</t>
  </si>
  <si>
    <t>04-10-2019 00:00:00</t>
  </si>
  <si>
    <t>26470880</t>
  </si>
  <si>
    <t>ООО фирма "Калория"</t>
  </si>
  <si>
    <t>2334022342</t>
  </si>
  <si>
    <t>28876877</t>
  </si>
  <si>
    <t>ОСП ООО "Роза Хутор"</t>
  </si>
  <si>
    <t>2320163897</t>
  </si>
  <si>
    <t>26473391</t>
  </si>
  <si>
    <t>ПМКП "Домострой"</t>
  </si>
  <si>
    <t>2339015807</t>
  </si>
  <si>
    <t>26562645</t>
  </si>
  <si>
    <t>Пансионат "Буревестник" - структурное подразделение МГУ им. М.В.Ломоносова</t>
  </si>
  <si>
    <t>7729082090</t>
  </si>
  <si>
    <t>16-09-2010 00:00:00</t>
  </si>
  <si>
    <t>26551263</t>
  </si>
  <si>
    <t>Племзавод Учебно-опытное хозяйство "Краснодарское" КГАУ</t>
  </si>
  <si>
    <t>2311014546</t>
  </si>
  <si>
    <t>231102003</t>
  </si>
  <si>
    <t>05-11-2002 00:00:00</t>
  </si>
  <si>
    <t>26473394</t>
  </si>
  <si>
    <t>РМКП "Сервис"</t>
  </si>
  <si>
    <t>2339015814</t>
  </si>
  <si>
    <t>26569445</t>
  </si>
  <si>
    <t>РЭУ "Троицкий групповой водопровод" ООО "Югводоканал"</t>
  </si>
  <si>
    <t>2320139238</t>
  </si>
  <si>
    <t>233703001</t>
  </si>
  <si>
    <t>27065634</t>
  </si>
  <si>
    <t>СПК "Колхоз имени В.И.Ленина"</t>
  </si>
  <si>
    <t>2343004558</t>
  </si>
  <si>
    <t>28-11-2002 00:00:00</t>
  </si>
  <si>
    <t>26473385</t>
  </si>
  <si>
    <t>СПК колхоз "Новоалексеевский"</t>
  </si>
  <si>
    <t>2339016487</t>
  </si>
  <si>
    <t>26550612</t>
  </si>
  <si>
    <t>ФГБНУ ВНИИТТИ</t>
  </si>
  <si>
    <t>2311050287</t>
  </si>
  <si>
    <t>15-01-2003 00:00:00</t>
  </si>
  <si>
    <t>31690476</t>
  </si>
  <si>
    <t>ФГБОУ ВО "Кубанский ГАУ"</t>
  </si>
  <si>
    <t>15-02-1994 00:00:00</t>
  </si>
  <si>
    <t>30944679</t>
  </si>
  <si>
    <t>ФГБУ ТС "Голубая бухта" Минздрава России</t>
  </si>
  <si>
    <t>2304014256</t>
  </si>
  <si>
    <t>31223626</t>
  </si>
  <si>
    <t>ФГБУ детский противотуберкулезный санаторий "Пионер"</t>
  </si>
  <si>
    <t>2318021310</t>
  </si>
  <si>
    <t>06-08-2018 00:00:00</t>
  </si>
  <si>
    <t>28078270</t>
  </si>
  <si>
    <t>ФГУП детский дерматологический санаторий им. Н.А. Семашко</t>
  </si>
  <si>
    <t>2318020997</t>
  </si>
  <si>
    <t>15-01-2013 00:00:00</t>
  </si>
  <si>
    <t>26355153</t>
  </si>
  <si>
    <t>ФКУ ИК-2 УФСИН России по Краснодарскому краю</t>
  </si>
  <si>
    <t>2356037543</t>
  </si>
  <si>
    <t>26569430</t>
  </si>
  <si>
    <t>Филиал "Ейский групповой водопровод" ООО "Югводоканал"</t>
  </si>
  <si>
    <t>230602001</t>
  </si>
  <si>
    <t>26569442</t>
  </si>
  <si>
    <t>Филиал "Таманский групповой водопровод" ООО "Югводоканал"</t>
  </si>
  <si>
    <t>235202001</t>
  </si>
  <si>
    <t>31384007</t>
  </si>
  <si>
    <t>филиал "Краснодарское водохранилище" ФГБВУ "Центррегионводхоз"</t>
  </si>
  <si>
    <t>5008028127</t>
  </si>
  <si>
    <t>773301001</t>
  </si>
  <si>
    <t>01-07-2002 00:00:00</t>
  </si>
  <si>
    <t>26473865</t>
  </si>
  <si>
    <t>АО "АЧ ЭНПП СИРИУС"</t>
  </si>
  <si>
    <t>2309058803</t>
  </si>
  <si>
    <t>02-12-2002 00:00:00</t>
  </si>
  <si>
    <t>26473325</t>
  </si>
  <si>
    <t>АО "Величковский элеватор"</t>
  </si>
  <si>
    <t>2333003442</t>
  </si>
  <si>
    <t>26468902</t>
  </si>
  <si>
    <t>АО "КЗЖБИ"</t>
  </si>
  <si>
    <t>2313014407</t>
  </si>
  <si>
    <t>26-02-2002 00:00:00</t>
  </si>
  <si>
    <t>28982436</t>
  </si>
  <si>
    <t>АО "Монолит-ЛТД"</t>
  </si>
  <si>
    <t>2350000794</t>
  </si>
  <si>
    <t>25-09-2002 00:00:00</t>
  </si>
  <si>
    <t>26473836</t>
  </si>
  <si>
    <t>АО "ОC"</t>
  </si>
  <si>
    <t>2356039678</t>
  </si>
  <si>
    <t>28460387</t>
  </si>
  <si>
    <t>АО "Таманьнефтегаз"</t>
  </si>
  <si>
    <t>2352013076</t>
  </si>
  <si>
    <t>12-11-1993 00:00:00</t>
  </si>
  <si>
    <t>23-07-2024 00:00:00</t>
  </si>
  <si>
    <t>26473411</t>
  </si>
  <si>
    <t>ГБПОУ КК ВТПП</t>
  </si>
  <si>
    <t>2314006695</t>
  </si>
  <si>
    <t>28795114</t>
  </si>
  <si>
    <t>ДОЛ "Электрон" (ООО)</t>
  </si>
  <si>
    <t>2301034007</t>
  </si>
  <si>
    <t>24-12-2002 00:00:00</t>
  </si>
  <si>
    <t>26529731</t>
  </si>
  <si>
    <t>ЗАО "Черноморец"</t>
  </si>
  <si>
    <t>2318012629</t>
  </si>
  <si>
    <t>22-02-2024 00:00:00</t>
  </si>
  <si>
    <t>28510980</t>
  </si>
  <si>
    <t>ИП Антонян С.О.</t>
  </si>
  <si>
    <t>234500396232</t>
  </si>
  <si>
    <t>21-04-2014 00:00:00</t>
  </si>
  <si>
    <t>30436668</t>
  </si>
  <si>
    <t>ИП Газаралиева Г.П.</t>
  </si>
  <si>
    <t>615424127595</t>
  </si>
  <si>
    <t>18-08-2015 00:00:00</t>
  </si>
  <si>
    <t>26564822</t>
  </si>
  <si>
    <t>ИП Капланян Е.В.</t>
  </si>
  <si>
    <t>234503086750</t>
  </si>
  <si>
    <t>31573437</t>
  </si>
  <si>
    <t>МБУ "ЖКХ-Комбытсервис"</t>
  </si>
  <si>
    <t>2352058013</t>
  </si>
  <si>
    <t>22-03-2022 00:00:00</t>
  </si>
  <si>
    <t>26473862</t>
  </si>
  <si>
    <t>МУП "ЖКХ-Фанагория"</t>
  </si>
  <si>
    <t>2352033259</t>
  </si>
  <si>
    <t>21-05-2002 00:00:00</t>
  </si>
  <si>
    <t>30802969</t>
  </si>
  <si>
    <t>МУП города Сочи "Водосток"</t>
  </si>
  <si>
    <t>2320201172</t>
  </si>
  <si>
    <t>06-07-2016 00:00:00</t>
  </si>
  <si>
    <t>26604087</t>
  </si>
  <si>
    <t>ОАО "Агентство развития Краснодарского края"</t>
  </si>
  <si>
    <t>2309092145</t>
  </si>
  <si>
    <t>26530825</t>
  </si>
  <si>
    <t>ОАО "ЖКС"</t>
  </si>
  <si>
    <t>2340017171</t>
  </si>
  <si>
    <t>26473328</t>
  </si>
  <si>
    <t>ОАО "ОСК"</t>
  </si>
  <si>
    <t>2334021211</t>
  </si>
  <si>
    <t>26529737</t>
  </si>
  <si>
    <t>ОАО "Пансионат "Лучезарный"</t>
  </si>
  <si>
    <t>2318029534</t>
  </si>
  <si>
    <t>26528210</t>
  </si>
  <si>
    <t>ОАО "Санаторий "Магадан"</t>
  </si>
  <si>
    <t>2318001955</t>
  </si>
  <si>
    <t>26473867</t>
  </si>
  <si>
    <t>ОАО "Турбаза "Волна"</t>
  </si>
  <si>
    <t>2355000653</t>
  </si>
  <si>
    <t>26-08-2002 00:00:00</t>
  </si>
  <si>
    <t>26473323</t>
  </si>
  <si>
    <t>ООО  "СК "Октябрь"</t>
  </si>
  <si>
    <t>2333012101</t>
  </si>
  <si>
    <t>28870481</t>
  </si>
  <si>
    <t>ООО "Аква"</t>
  </si>
  <si>
    <t>2301079456</t>
  </si>
  <si>
    <t>28-03-2012 00:00:00</t>
  </si>
  <si>
    <t>31560173</t>
  </si>
  <si>
    <t>ООО "Аквасети"</t>
  </si>
  <si>
    <t>2369008099</t>
  </si>
  <si>
    <t>30813169</t>
  </si>
  <si>
    <t>ООО "Альтернатива"</t>
  </si>
  <si>
    <t>2330036792</t>
  </si>
  <si>
    <t>28-07-2016 00:00:00</t>
  </si>
  <si>
    <t>27356441</t>
  </si>
  <si>
    <t>ООО "Биопотенциал"</t>
  </si>
  <si>
    <t>2309082108</t>
  </si>
  <si>
    <t>29-01-2003 00:00:00</t>
  </si>
  <si>
    <t>26473420</t>
  </si>
  <si>
    <t>ООО "Брюховецкое предприятие отвода и очистки стоков"</t>
  </si>
  <si>
    <t>2327009686</t>
  </si>
  <si>
    <t>30803505</t>
  </si>
  <si>
    <t>ООО "Водоотведение"</t>
  </si>
  <si>
    <t>2303026146</t>
  </si>
  <si>
    <t>27991554</t>
  </si>
  <si>
    <t>2373001297</t>
  </si>
  <si>
    <t>30859154</t>
  </si>
  <si>
    <t>ООО "Газпром добыча Оренбург"</t>
  </si>
  <si>
    <t>5610058025</t>
  </si>
  <si>
    <t>561001001</t>
  </si>
  <si>
    <t>10-11-2002 00:00:00</t>
  </si>
  <si>
    <t>30955607</t>
  </si>
  <si>
    <t>ООО "ДИАС"</t>
  </si>
  <si>
    <t>2308237278</t>
  </si>
  <si>
    <t>28134153</t>
  </si>
  <si>
    <t>ООО "ЖКХ-Стройсервис"</t>
  </si>
  <si>
    <t>2341016237</t>
  </si>
  <si>
    <t>20-03-2012 00:00:00</t>
  </si>
  <si>
    <t>30383345</t>
  </si>
  <si>
    <t>ООО "Квадра"</t>
  </si>
  <si>
    <t>2373008895</t>
  </si>
  <si>
    <t>30384656</t>
  </si>
  <si>
    <t>2345010638</t>
  </si>
  <si>
    <t>23-12-2015 00:00:00</t>
  </si>
  <si>
    <t>26473356</t>
  </si>
  <si>
    <t>ООО "Крымские коммунальные сети"</t>
  </si>
  <si>
    <t>2337042210</t>
  </si>
  <si>
    <t>31408964</t>
  </si>
  <si>
    <t>ООО "Новый Лазурит"</t>
  </si>
  <si>
    <t>2315168410</t>
  </si>
  <si>
    <t>773101001</t>
  </si>
  <si>
    <t>21-07-2011 00:00:00</t>
  </si>
  <si>
    <t>26319812</t>
  </si>
  <si>
    <t>ООО "ПХЦ-Алдан"</t>
  </si>
  <si>
    <t>2310073080</t>
  </si>
  <si>
    <t>21-12-2002 00:00:00</t>
  </si>
  <si>
    <t>31356946</t>
  </si>
  <si>
    <t>ООО "Санаторий "Дюна"</t>
  </si>
  <si>
    <t>2301035890</t>
  </si>
  <si>
    <t>30924028</t>
  </si>
  <si>
    <t>ООО "Северское водоотведение"</t>
  </si>
  <si>
    <t>2348038254</t>
  </si>
  <si>
    <t>22-06-2017 00:00:00</t>
  </si>
  <si>
    <t>07-06-2024 00:00:00</t>
  </si>
  <si>
    <t>28265054</t>
  </si>
  <si>
    <t>ООО "ФКС"</t>
  </si>
  <si>
    <t>2348034370</t>
  </si>
  <si>
    <t>27-12-2012 00:00:00</t>
  </si>
  <si>
    <t>31159739</t>
  </si>
  <si>
    <t>ООО "Чистый берег"</t>
  </si>
  <si>
    <t>2366003529</t>
  </si>
  <si>
    <t>04-04-2018 00:00:00</t>
  </si>
  <si>
    <t>28870506</t>
  </si>
  <si>
    <t>ООО «Восток»</t>
  </si>
  <si>
    <t>2312184029</t>
  </si>
  <si>
    <t>11-08-2011 00:00:00</t>
  </si>
  <si>
    <t>26473374</t>
  </si>
  <si>
    <t>ООО ПКФ "Оптимус"</t>
  </si>
  <si>
    <t>2330024349</t>
  </si>
  <si>
    <t>26529735</t>
  </si>
  <si>
    <t>ООО СХФ "Верлиока"</t>
  </si>
  <si>
    <t>2318014048</t>
  </si>
  <si>
    <t>30859276</t>
  </si>
  <si>
    <t>ООО"ОВК-Восток"</t>
  </si>
  <si>
    <t>2311130366</t>
  </si>
  <si>
    <t>13-12-2010 00:00:00</t>
  </si>
  <si>
    <t>28858983</t>
  </si>
  <si>
    <t>Обособленное подразделение ООО "Свинокомплекс "Развильненский"</t>
  </si>
  <si>
    <t>6163134234</t>
  </si>
  <si>
    <t>236945001</t>
  </si>
  <si>
    <t>01-07-2014 00:00:00</t>
  </si>
  <si>
    <t>27-04-2024 00:00:00</t>
  </si>
  <si>
    <t>31490355</t>
  </si>
  <si>
    <t>Общество с ограниченной ответсвенностью "Павловская коммунальная компания"</t>
  </si>
  <si>
    <t>2360013506</t>
  </si>
  <si>
    <t>26406414</t>
  </si>
  <si>
    <t>"МУП ТГП ТР "ККПиБ"</t>
  </si>
  <si>
    <t>2321007675</t>
  </si>
  <si>
    <t>26761683</t>
  </si>
  <si>
    <t>АО "Кадош"</t>
  </si>
  <si>
    <t>2365015810</t>
  </si>
  <si>
    <t>15-03-2010 00:00:00</t>
  </si>
  <si>
    <t>30944698</t>
  </si>
  <si>
    <t>АО "Крайжилкомресурс"</t>
  </si>
  <si>
    <t>2308124997</t>
  </si>
  <si>
    <t>16-08-2016 00:00:00</t>
  </si>
  <si>
    <t>26650901</t>
  </si>
  <si>
    <t>АО "Мусороуборочная компания"</t>
  </si>
  <si>
    <t>2308131994</t>
  </si>
  <si>
    <t>31695096</t>
  </si>
  <si>
    <t>ИП БАРБУКОВ АЛЕКСЕЙ ВЛАДИМИРОВИЧ</t>
  </si>
  <si>
    <t>232501819504</t>
  </si>
  <si>
    <t>02-04-2018 00:00:00</t>
  </si>
  <si>
    <t>31695100</t>
  </si>
  <si>
    <t>ИП Клоков Дмитрий Юрьевич</t>
  </si>
  <si>
    <t>231806464558</t>
  </si>
  <si>
    <t>25-01-2012 00:00:00</t>
  </si>
  <si>
    <t>31690756</t>
  </si>
  <si>
    <t>ИП Кравченко Роман Алексеевич</t>
  </si>
  <si>
    <t>232301590584</t>
  </si>
  <si>
    <t>17-03-2010 00:00:00</t>
  </si>
  <si>
    <t>31742879</t>
  </si>
  <si>
    <t>ИП Фатунов С.А.</t>
  </si>
  <si>
    <t>230404753205</t>
  </si>
  <si>
    <t>26-10-2021 00:00:00</t>
  </si>
  <si>
    <t>31742867</t>
  </si>
  <si>
    <t>Индивидуальный предприниматель Пучкова Анастасия Павловна</t>
  </si>
  <si>
    <t>229101441133</t>
  </si>
  <si>
    <t>28-04-2021 00:00:00</t>
  </si>
  <si>
    <t>31690585</t>
  </si>
  <si>
    <t>МБУ "ЦЕНТР БЛАГОУСТРОЙСТВА"</t>
  </si>
  <si>
    <t>2315221367</t>
  </si>
  <si>
    <t>28859549</t>
  </si>
  <si>
    <t>МБУ "ЦРЭС"</t>
  </si>
  <si>
    <t>2305028646</t>
  </si>
  <si>
    <t>23-12-2014 00:00:00</t>
  </si>
  <si>
    <t>28533992</t>
  </si>
  <si>
    <t>МП "Апшеронск"</t>
  </si>
  <si>
    <t>2325011577</t>
  </si>
  <si>
    <t>01-10-2002 00:00:00</t>
  </si>
  <si>
    <t>05-04-2024 00:00:00</t>
  </si>
  <si>
    <t>31690137</t>
  </si>
  <si>
    <t>МУП "АЛЕКСАНДРИЯ"</t>
  </si>
  <si>
    <t>2304035400</t>
  </si>
  <si>
    <t>31-10-2000 00:00:00</t>
  </si>
  <si>
    <t>26475806</t>
  </si>
  <si>
    <t>МУП "ККБУ"</t>
  </si>
  <si>
    <t>2306016499</t>
  </si>
  <si>
    <t>31690480</t>
  </si>
  <si>
    <t>МУП "КОММУНАЛЬЩИК"</t>
  </si>
  <si>
    <t>2304034291</t>
  </si>
  <si>
    <t>31690570</t>
  </si>
  <si>
    <t>МУП "ПШАДА"</t>
  </si>
  <si>
    <t>2304034870</t>
  </si>
  <si>
    <t>28446075</t>
  </si>
  <si>
    <t>МУП "Санитарная очистка"</t>
  </si>
  <si>
    <t>2326008182</t>
  </si>
  <si>
    <t>04-10-2006 00:00:00</t>
  </si>
  <si>
    <t>30917419</t>
  </si>
  <si>
    <t>2352052251</t>
  </si>
  <si>
    <t>31746464</t>
  </si>
  <si>
    <t>МУП «ОКУ»</t>
  </si>
  <si>
    <t>2301042544</t>
  </si>
  <si>
    <t>22-03-2001 00:00:00</t>
  </si>
  <si>
    <t>26475849</t>
  </si>
  <si>
    <t>МУП благоустройства и хозяйственного обеспечения муниципального образования город-курорт Геленджик</t>
  </si>
  <si>
    <t>2304031653</t>
  </si>
  <si>
    <t>30844323</t>
  </si>
  <si>
    <t>ООО "АКВА-КРИСТАЛЛ"</t>
  </si>
  <si>
    <t>2301065164</t>
  </si>
  <si>
    <t>07-05-2024 00:00:00</t>
  </si>
  <si>
    <t>31623505</t>
  </si>
  <si>
    <t>ООО "Армавиргортранс"</t>
  </si>
  <si>
    <t>2372031073</t>
  </si>
  <si>
    <t>03-10-2022 00:00:00</t>
  </si>
  <si>
    <t>31423179</t>
  </si>
  <si>
    <t>ООО "Брюховецкая-Чистая станица"</t>
  </si>
  <si>
    <t>2327012505</t>
  </si>
  <si>
    <t>04-07-2001 00:00:00</t>
  </si>
  <si>
    <t>31690152</t>
  </si>
  <si>
    <t>ООО "ВЫМПЕЛ"</t>
  </si>
  <si>
    <t>6234117206</t>
  </si>
  <si>
    <t>623401001</t>
  </si>
  <si>
    <t>28485911</t>
  </si>
  <si>
    <t>ООО "Жилсервис"</t>
  </si>
  <si>
    <t>2368005183</t>
  </si>
  <si>
    <t>18-12-2013 00:00:00</t>
  </si>
  <si>
    <t>31690268</t>
  </si>
  <si>
    <t>ООО "Золотое руно"</t>
  </si>
  <si>
    <t>6168069807</t>
  </si>
  <si>
    <t>616801001</t>
  </si>
  <si>
    <t>30-10-2013 00:00:00</t>
  </si>
  <si>
    <t>31690466</t>
  </si>
  <si>
    <t>ООО "ККБО"</t>
  </si>
  <si>
    <t>2315992169</t>
  </si>
  <si>
    <t>31695104</t>
  </si>
  <si>
    <t>ООО "Клевер"</t>
  </si>
  <si>
    <t>2311161741</t>
  </si>
  <si>
    <t>21-08-2013 00:00:00</t>
  </si>
  <si>
    <t>31544304</t>
  </si>
  <si>
    <t>ООО "КубаньПереработка"</t>
  </si>
  <si>
    <t>2312192911</t>
  </si>
  <si>
    <t>14-06-2012 00:00:00</t>
  </si>
  <si>
    <t>31690472</t>
  </si>
  <si>
    <t>ООО "КубаньУтильСервис"</t>
  </si>
  <si>
    <t>2312167390</t>
  </si>
  <si>
    <t>010701001</t>
  </si>
  <si>
    <t>28-12-2009 00:00:00</t>
  </si>
  <si>
    <t>31742843</t>
  </si>
  <si>
    <t>ООО "Лотос"</t>
  </si>
  <si>
    <t>2315178898</t>
  </si>
  <si>
    <t>26-02-2013 00:00:00</t>
  </si>
  <si>
    <t>31690485</t>
  </si>
  <si>
    <t>ООО "МАСТЕР-СЕРВИС"</t>
  </si>
  <si>
    <t>3016052666</t>
  </si>
  <si>
    <t>302501001</t>
  </si>
  <si>
    <t>31690619</t>
  </si>
  <si>
    <t>ООО "Навигатор чистоты"</t>
  </si>
  <si>
    <t>2311174395</t>
  </si>
  <si>
    <t>06-06-2014 00:00:00</t>
  </si>
  <si>
    <t>31684847</t>
  </si>
  <si>
    <t>ООО "РУС УНИВЕРСАЛ"</t>
  </si>
  <si>
    <t>2309138470</t>
  </si>
  <si>
    <t>24-10-2013 00:00:00</t>
  </si>
  <si>
    <t>31690157</t>
  </si>
  <si>
    <t>ООО "Региональная транспортная компания"</t>
  </si>
  <si>
    <t>3444186480</t>
  </si>
  <si>
    <t>770501001</t>
  </si>
  <si>
    <t>02-06-2011 00:00:00</t>
  </si>
  <si>
    <t>31680583</t>
  </si>
  <si>
    <t>ООО "Региональный оператор-КК"</t>
  </si>
  <si>
    <t>9706020414</t>
  </si>
  <si>
    <t>770601001</t>
  </si>
  <si>
    <t>06-12-2021 00:00:00</t>
  </si>
  <si>
    <t>31690580</t>
  </si>
  <si>
    <t>ООО "СТАРСТРОЙ"</t>
  </si>
  <si>
    <t>2308063783</t>
  </si>
  <si>
    <t>31224527</t>
  </si>
  <si>
    <t>ООО "Саночистка"</t>
  </si>
  <si>
    <t>2313021563</t>
  </si>
  <si>
    <t>231301001</t>
  </si>
  <si>
    <t>08-11-2006 00:00:00</t>
  </si>
  <si>
    <t>31690623</t>
  </si>
  <si>
    <t>ООО "СпецСервис"</t>
  </si>
  <si>
    <t>2311186658</t>
  </si>
  <si>
    <t>13-02-2015 00:00:00</t>
  </si>
  <si>
    <t>28493666</t>
  </si>
  <si>
    <t>ООО "СтройДизайн"</t>
  </si>
  <si>
    <t>2350010506</t>
  </si>
  <si>
    <t>27-11-2007 00:00:00</t>
  </si>
  <si>
    <t>27994567</t>
  </si>
  <si>
    <t>ООО "Терра-Н"</t>
  </si>
  <si>
    <t>2315130328</t>
  </si>
  <si>
    <t>31690638</t>
  </si>
  <si>
    <t>ООО "Технопроф"</t>
  </si>
  <si>
    <t>6137010458</t>
  </si>
  <si>
    <t>613701001</t>
  </si>
  <si>
    <t>22-05-2019 00:00:00</t>
  </si>
  <si>
    <t>31657183</t>
  </si>
  <si>
    <t>ООО "ТрансАльянс-Юг"</t>
  </si>
  <si>
    <t>2348038590</t>
  </si>
  <si>
    <t>31690744</t>
  </si>
  <si>
    <t>ООО "ЧЕРНОМОРСКАЯ ТОРГОВО-ПРОМЫШЛЕННАЯ КОМПАНИЯ"</t>
  </si>
  <si>
    <t>2315067771</t>
  </si>
  <si>
    <t>29-09-1995 00:00:00</t>
  </si>
  <si>
    <t>28873110</t>
  </si>
  <si>
    <t>ООО "Чистая станица"</t>
  </si>
  <si>
    <t>2341015025</t>
  </si>
  <si>
    <t>20-03-2009 00:00:00</t>
  </si>
  <si>
    <t>31690783</t>
  </si>
  <si>
    <t>ООО "Чистый Сервис Сочи"</t>
  </si>
  <si>
    <t>5405038361</t>
  </si>
  <si>
    <t>540501001</t>
  </si>
  <si>
    <t>19-03-2019 00:00:00</t>
  </si>
  <si>
    <t>31695117</t>
  </si>
  <si>
    <t>ООО "Чистый Сервис"</t>
  </si>
  <si>
    <t>5402576675</t>
  </si>
  <si>
    <t>231945001</t>
  </si>
  <si>
    <t>27-05-2014 00:00:00</t>
  </si>
  <si>
    <t>31691433</t>
  </si>
  <si>
    <t>ООО "Чистый город"</t>
  </si>
  <si>
    <t>2349025667</t>
  </si>
  <si>
    <t>14-07-2005 00:00:00</t>
  </si>
  <si>
    <t>26475825</t>
  </si>
  <si>
    <t>2353022813</t>
  </si>
  <si>
    <t>19-09-2006 00:00:00</t>
  </si>
  <si>
    <t>31695092</t>
  </si>
  <si>
    <t>ООО "ЭКОГАРАНТ"</t>
  </si>
  <si>
    <t>2318048199</t>
  </si>
  <si>
    <t>12-05-2014 00:00:00</t>
  </si>
  <si>
    <t>31691478</t>
  </si>
  <si>
    <t>ООО "Эко Ком Транс"</t>
  </si>
  <si>
    <t>5019021250</t>
  </si>
  <si>
    <t>772401001</t>
  </si>
  <si>
    <t>11-03-2009 00:00:00</t>
  </si>
  <si>
    <t>28858682</t>
  </si>
  <si>
    <t>ООО "ЭкоТон"</t>
  </si>
  <si>
    <t>2334023762</t>
  </si>
  <si>
    <t>17-12-2014 00:00:00</t>
  </si>
  <si>
    <t>30908955</t>
  </si>
  <si>
    <t>ООО "ЭкоЦентр"</t>
  </si>
  <si>
    <t>3444177534</t>
  </si>
  <si>
    <t>31230104</t>
  </si>
  <si>
    <t>ООО "ЭкоЮг"</t>
  </si>
  <si>
    <t>2337035220</t>
  </si>
  <si>
    <t>27-12-2016 00:00:00</t>
  </si>
  <si>
    <t>31456896</t>
  </si>
  <si>
    <t>ООО "Экотехпром"</t>
  </si>
  <si>
    <t>5026014960</t>
  </si>
  <si>
    <t>502701001</t>
  </si>
  <si>
    <t>31431358</t>
  </si>
  <si>
    <t>ООО "Экоформат"</t>
  </si>
  <si>
    <t>2339023967</t>
  </si>
  <si>
    <t>03-11-2016 00:00:00</t>
  </si>
  <si>
    <t>31690590</t>
  </si>
  <si>
    <t>ООО "ЮЖНЫЙ"</t>
  </si>
  <si>
    <t>2315163958</t>
  </si>
  <si>
    <t>31690614</t>
  </si>
  <si>
    <t>ООО "ЮСТК-ТБО"</t>
  </si>
  <si>
    <t>2315129330</t>
  </si>
  <si>
    <t>28469219</t>
  </si>
  <si>
    <t>ООО МП "ЖКХ" Красноармейского района</t>
  </si>
  <si>
    <t>2336023084</t>
  </si>
  <si>
    <t>31690576</t>
  </si>
  <si>
    <t>ООО МПК "Купол"</t>
  </si>
  <si>
    <t>2311114646</t>
  </si>
  <si>
    <t>27-01-2009 00:00:00</t>
  </si>
  <si>
    <t>31065246</t>
  </si>
  <si>
    <t>ООО"Кубань-ТБО"</t>
  </si>
  <si>
    <t>2308215813</t>
  </si>
  <si>
    <t>05-03-2018 00:00:00</t>
  </si>
  <si>
    <t>31742874</t>
  </si>
  <si>
    <t>ООО"Эталон Плюс"</t>
  </si>
  <si>
    <t>2315227270</t>
  </si>
  <si>
    <t>23-09-2022 00:00:00</t>
  </si>
  <si>
    <t>31680032</t>
  </si>
  <si>
    <t>Общество с ограниченной ответственностью "ПрофиСервис"</t>
  </si>
  <si>
    <t>7720433089</t>
  </si>
  <si>
    <t>19-06-2018 00:00:00</t>
  </si>
  <si>
    <t>31690739</t>
  </si>
  <si>
    <t>СОЛНЕЧНАЯ ЛОК ГЕЛЕНДЖИК</t>
  </si>
  <si>
    <t>2304002613</t>
  </si>
  <si>
    <t>25-12-1992 00:00:00</t>
  </si>
  <si>
    <t>NSRF</t>
  </si>
  <si>
    <t>MR_NAME</t>
  </si>
  <si>
    <t>OKTMO_MR_NAME</t>
  </si>
  <si>
    <t>MO_NAME</t>
  </si>
  <si>
    <t>OKTMO_NAME</t>
  </si>
  <si>
    <t>TYPE</t>
  </si>
  <si>
    <t>MR_ID</t>
  </si>
  <si>
    <t>Абинский муниципальный район</t>
  </si>
  <si>
    <t>03601000</t>
  </si>
  <si>
    <t>муниципальный район</t>
  </si>
  <si>
    <t>Абинское городское</t>
  </si>
  <si>
    <t>03601101</t>
  </si>
  <si>
    <t>городское поселение, в состав которого входит город</t>
  </si>
  <si>
    <t>Ахтырское городское</t>
  </si>
  <si>
    <t>03601153</t>
  </si>
  <si>
    <t>городское поселение, в состав которого входит поселок</t>
  </si>
  <si>
    <t>Варнавинское</t>
  </si>
  <si>
    <t>03601401</t>
  </si>
  <si>
    <t>сельское поселение</t>
  </si>
  <si>
    <t>Мингрельское</t>
  </si>
  <si>
    <t>03601403</t>
  </si>
  <si>
    <t>Ольгинское</t>
  </si>
  <si>
    <t>03601402</t>
  </si>
  <si>
    <t>Светлогорское</t>
  </si>
  <si>
    <t>03601405</t>
  </si>
  <si>
    <t>Федоровское</t>
  </si>
  <si>
    <t>03601406</t>
  </si>
  <si>
    <t>Холмское</t>
  </si>
  <si>
    <t>03601408</t>
  </si>
  <si>
    <t>Апшеронский муниципальный район</t>
  </si>
  <si>
    <t>03605000</t>
  </si>
  <si>
    <t>Апшеронское городское</t>
  </si>
  <si>
    <t>03605101</t>
  </si>
  <si>
    <t>Кабардинское</t>
  </si>
  <si>
    <t>03605407</t>
  </si>
  <si>
    <t>Кубанское</t>
  </si>
  <si>
    <t>03605410</t>
  </si>
  <si>
    <t>Куринское</t>
  </si>
  <si>
    <t>03605413</t>
  </si>
  <si>
    <t>Мезмайское</t>
  </si>
  <si>
    <t>03605416</t>
  </si>
  <si>
    <t>Нефтегорское городское</t>
  </si>
  <si>
    <t>03605157</t>
  </si>
  <si>
    <t>Нижегородское</t>
  </si>
  <si>
    <t>03605418</t>
  </si>
  <si>
    <t>Новополянское</t>
  </si>
  <si>
    <t>03605419</t>
  </si>
  <si>
    <t>Отдаленное</t>
  </si>
  <si>
    <t>03605422</t>
  </si>
  <si>
    <t>Тверское</t>
  </si>
  <si>
    <t>03605431</t>
  </si>
  <si>
    <t>Хадыженское городское</t>
  </si>
  <si>
    <t>03605109</t>
  </si>
  <si>
    <t>Черниговское</t>
  </si>
  <si>
    <t>03605434</t>
  </si>
  <si>
    <t>Белоглинский муниципальный район</t>
  </si>
  <si>
    <t>03607000</t>
  </si>
  <si>
    <t>Белоглинское</t>
  </si>
  <si>
    <t>03607402</t>
  </si>
  <si>
    <t>Новопавловское</t>
  </si>
  <si>
    <t>03607404</t>
  </si>
  <si>
    <t>Успенское</t>
  </si>
  <si>
    <t>03607407</t>
  </si>
  <si>
    <t>Центральное</t>
  </si>
  <si>
    <t>03607410</t>
  </si>
  <si>
    <t>Белореченский муниципальный район</t>
  </si>
  <si>
    <t>03608000</t>
  </si>
  <si>
    <t>Белореченское городское</t>
  </si>
  <si>
    <t>03608101</t>
  </si>
  <si>
    <t>Бжедуховское</t>
  </si>
  <si>
    <t>03608402</t>
  </si>
  <si>
    <t>Великовечненское</t>
  </si>
  <si>
    <t>03608404</t>
  </si>
  <si>
    <t>Дружненское</t>
  </si>
  <si>
    <t>03608405</t>
  </si>
  <si>
    <t>Первомайское</t>
  </si>
  <si>
    <t>03608407</t>
  </si>
  <si>
    <t>Пшехское</t>
  </si>
  <si>
    <t>03608410</t>
  </si>
  <si>
    <t>Родниковское</t>
  </si>
  <si>
    <t>03608412</t>
  </si>
  <si>
    <t>Рязанское</t>
  </si>
  <si>
    <t>03608413</t>
  </si>
  <si>
    <t>03608416</t>
  </si>
  <si>
    <t>Школьненское</t>
  </si>
  <si>
    <t>03608419</t>
  </si>
  <si>
    <t>Южненское</t>
  </si>
  <si>
    <t>03608420</t>
  </si>
  <si>
    <t>Брюховецкий муниципальный район</t>
  </si>
  <si>
    <t>03610000</t>
  </si>
  <si>
    <t>Батуринское</t>
  </si>
  <si>
    <t>03610402</t>
  </si>
  <si>
    <t>Большебейсугское</t>
  </si>
  <si>
    <t>03610404</t>
  </si>
  <si>
    <t>Брюховецкое</t>
  </si>
  <si>
    <t>03610407</t>
  </si>
  <si>
    <t>Новоджерелиевское</t>
  </si>
  <si>
    <t>03610410</t>
  </si>
  <si>
    <t>Новосельское</t>
  </si>
  <si>
    <t>03610413</t>
  </si>
  <si>
    <t>Переясловское</t>
  </si>
  <si>
    <t>03610416</t>
  </si>
  <si>
    <t>Свободненское</t>
  </si>
  <si>
    <t>03610419</t>
  </si>
  <si>
    <t>Чепигинское</t>
  </si>
  <si>
    <t>03610422</t>
  </si>
  <si>
    <t>Выселковский муниципальный район</t>
  </si>
  <si>
    <t>03612000</t>
  </si>
  <si>
    <t>Бейсугское</t>
  </si>
  <si>
    <t>03612402</t>
  </si>
  <si>
    <t>Бейсужекское</t>
  </si>
  <si>
    <t>03612404</t>
  </si>
  <si>
    <t>Березанское</t>
  </si>
  <si>
    <t>03612407</t>
  </si>
  <si>
    <t>Бузиновское</t>
  </si>
  <si>
    <t>03612410</t>
  </si>
  <si>
    <t>Выселковское</t>
  </si>
  <si>
    <t>03612413</t>
  </si>
  <si>
    <t>Газырское</t>
  </si>
  <si>
    <t>03612416</t>
  </si>
  <si>
    <t>Ирклиевское</t>
  </si>
  <si>
    <t>03612419</t>
  </si>
  <si>
    <t>Крупское</t>
  </si>
  <si>
    <t>03612420</t>
  </si>
  <si>
    <t>Новобейсугское</t>
  </si>
  <si>
    <t>03612422</t>
  </si>
  <si>
    <t>Новомалороссийское</t>
  </si>
  <si>
    <t>03612425</t>
  </si>
  <si>
    <t>Город Армавир</t>
  </si>
  <si>
    <t>03705000</t>
  </si>
  <si>
    <t>городской округ</t>
  </si>
  <si>
    <t>60</t>
  </si>
  <si>
    <t>Город Горячий Ключ</t>
  </si>
  <si>
    <t>03709000</t>
  </si>
  <si>
    <t>61</t>
  </si>
  <si>
    <t>Город Краснодар</t>
  </si>
  <si>
    <t>03701000</t>
  </si>
  <si>
    <t>62</t>
  </si>
  <si>
    <t>Город Новороссийск</t>
  </si>
  <si>
    <t>03720000</t>
  </si>
  <si>
    <t>63</t>
  </si>
  <si>
    <t>Город-курорт Анапа</t>
  </si>
  <si>
    <t>03703000</t>
  </si>
  <si>
    <t>64</t>
  </si>
  <si>
    <t>Город-курорт Геленджик</t>
  </si>
  <si>
    <t>03708000</t>
  </si>
  <si>
    <t>65</t>
  </si>
  <si>
    <t>Город-курорт Сочи</t>
  </si>
  <si>
    <t>03726000</t>
  </si>
  <si>
    <t>Гулькевичский муниципальный район</t>
  </si>
  <si>
    <t>03613000</t>
  </si>
  <si>
    <t>Венцы-Заря</t>
  </si>
  <si>
    <t>03613404</t>
  </si>
  <si>
    <t>67</t>
  </si>
  <si>
    <t>Гирейское городское</t>
  </si>
  <si>
    <t>03613154</t>
  </si>
  <si>
    <t>69</t>
  </si>
  <si>
    <t>Гулькевичское городское</t>
  </si>
  <si>
    <t>03613101</t>
  </si>
  <si>
    <t>70</t>
  </si>
  <si>
    <t>Комсомольское</t>
  </si>
  <si>
    <t>03613413</t>
  </si>
  <si>
    <t>71</t>
  </si>
  <si>
    <t>Красносельское городское</t>
  </si>
  <si>
    <t>03613162</t>
  </si>
  <si>
    <t>72</t>
  </si>
  <si>
    <t>Кубань</t>
  </si>
  <si>
    <t>03613416</t>
  </si>
  <si>
    <t>73</t>
  </si>
  <si>
    <t>Николенское</t>
  </si>
  <si>
    <t>03613425</t>
  </si>
  <si>
    <t>74</t>
  </si>
  <si>
    <t>Новоукраинское</t>
  </si>
  <si>
    <t>03613429</t>
  </si>
  <si>
    <t>75</t>
  </si>
  <si>
    <t>Отрадо-Кубанское</t>
  </si>
  <si>
    <t>03613434</t>
  </si>
  <si>
    <t>76</t>
  </si>
  <si>
    <t>Отрадо-Ольгинское</t>
  </si>
  <si>
    <t>03613437</t>
  </si>
  <si>
    <t>77</t>
  </si>
  <si>
    <t>Пушкинское</t>
  </si>
  <si>
    <t>03613440</t>
  </si>
  <si>
    <t>78</t>
  </si>
  <si>
    <t>Скобелевское</t>
  </si>
  <si>
    <t>03613445</t>
  </si>
  <si>
    <t>79</t>
  </si>
  <si>
    <t>Соколовское</t>
  </si>
  <si>
    <t>03613448</t>
  </si>
  <si>
    <t>80</t>
  </si>
  <si>
    <t>Союз Четырех Хуторов</t>
  </si>
  <si>
    <t>03613450</t>
  </si>
  <si>
    <t>81</t>
  </si>
  <si>
    <t>Тысячное</t>
  </si>
  <si>
    <t>03613455</t>
  </si>
  <si>
    <t>82</t>
  </si>
  <si>
    <t>Динской муниципальный район</t>
  </si>
  <si>
    <t>03614000</t>
  </si>
  <si>
    <t>Васюринское</t>
  </si>
  <si>
    <t>03614402</t>
  </si>
  <si>
    <t>83</t>
  </si>
  <si>
    <t>Динское</t>
  </si>
  <si>
    <t>03614404</t>
  </si>
  <si>
    <t>84</t>
  </si>
  <si>
    <t>85</t>
  </si>
  <si>
    <t>Красносельское</t>
  </si>
  <si>
    <t>03614410</t>
  </si>
  <si>
    <t>86</t>
  </si>
  <si>
    <t>Мичуринское</t>
  </si>
  <si>
    <t>03614412</t>
  </si>
  <si>
    <t>87</t>
  </si>
  <si>
    <t>Нововеличковское</t>
  </si>
  <si>
    <t>03614414</t>
  </si>
  <si>
    <t>88</t>
  </si>
  <si>
    <t>Новотитаровское</t>
  </si>
  <si>
    <t>03614416</t>
  </si>
  <si>
    <t>89</t>
  </si>
  <si>
    <t>Первореченское</t>
  </si>
  <si>
    <t>03614419</t>
  </si>
  <si>
    <t>90</t>
  </si>
  <si>
    <t>Пластуновское</t>
  </si>
  <si>
    <t>03614422</t>
  </si>
  <si>
    <t>91</t>
  </si>
  <si>
    <t>Старомышастовское</t>
  </si>
  <si>
    <t>03614428</t>
  </si>
  <si>
    <t>92</t>
  </si>
  <si>
    <t>Южно-Кубанское</t>
  </si>
  <si>
    <t>03614445</t>
  </si>
  <si>
    <t>93</t>
  </si>
  <si>
    <t>03616000</t>
  </si>
  <si>
    <t>Александровское</t>
  </si>
  <si>
    <t>03616402</t>
  </si>
  <si>
    <t>94</t>
  </si>
  <si>
    <t>Должанское</t>
  </si>
  <si>
    <t>03616404</t>
  </si>
  <si>
    <t>95</t>
  </si>
  <si>
    <t>96</t>
  </si>
  <si>
    <t>Ейское</t>
  </si>
  <si>
    <t>03616407</t>
  </si>
  <si>
    <t>97</t>
  </si>
  <si>
    <t>Камышеватское</t>
  </si>
  <si>
    <t>03616410</t>
  </si>
  <si>
    <t>99</t>
  </si>
  <si>
    <t>Копанское</t>
  </si>
  <si>
    <t>03616413</t>
  </si>
  <si>
    <t>100</t>
  </si>
  <si>
    <t>Красноармейское</t>
  </si>
  <si>
    <t>03616416</t>
  </si>
  <si>
    <t>101</t>
  </si>
  <si>
    <t>Кухаривское</t>
  </si>
  <si>
    <t>03616419</t>
  </si>
  <si>
    <t>102</t>
  </si>
  <si>
    <t>Моревское</t>
  </si>
  <si>
    <t>03616420</t>
  </si>
  <si>
    <t>103</t>
  </si>
  <si>
    <t>Трудовое</t>
  </si>
  <si>
    <t>03616421</t>
  </si>
  <si>
    <t>104</t>
  </si>
  <si>
    <t>Ясенское</t>
  </si>
  <si>
    <t>03616422</t>
  </si>
  <si>
    <t>105</t>
  </si>
  <si>
    <t>Кавказский муниципальный район</t>
  </si>
  <si>
    <t>03618000</t>
  </si>
  <si>
    <t>Дмитриевское</t>
  </si>
  <si>
    <t>03618404</t>
  </si>
  <si>
    <t>106</t>
  </si>
  <si>
    <t>107</t>
  </si>
  <si>
    <t>Кавказское</t>
  </si>
  <si>
    <t>03618410</t>
  </si>
  <si>
    <t>108</t>
  </si>
  <si>
    <t>Казанское</t>
  </si>
  <si>
    <t>03618413</t>
  </si>
  <si>
    <t>109</t>
  </si>
  <si>
    <t>Кропоткинское городское</t>
  </si>
  <si>
    <t>03618101</t>
  </si>
  <si>
    <t>110</t>
  </si>
  <si>
    <t>Лосевское</t>
  </si>
  <si>
    <t>03618419</t>
  </si>
  <si>
    <t>111</t>
  </si>
  <si>
    <t>Мирское</t>
  </si>
  <si>
    <t>03618422</t>
  </si>
  <si>
    <t>112</t>
  </si>
  <si>
    <t>Привольное</t>
  </si>
  <si>
    <t>03618432</t>
  </si>
  <si>
    <t>113</t>
  </si>
  <si>
    <t>Темижбекское</t>
  </si>
  <si>
    <t>03618452</t>
  </si>
  <si>
    <t>114</t>
  </si>
  <si>
    <t>им М Горького</t>
  </si>
  <si>
    <t>03618407</t>
  </si>
  <si>
    <t>115</t>
  </si>
  <si>
    <t>Калининский муниципальный район</t>
  </si>
  <si>
    <t>03619000</t>
  </si>
  <si>
    <t>Бойкопонурское</t>
  </si>
  <si>
    <t>03619405</t>
  </si>
  <si>
    <t>116</t>
  </si>
  <si>
    <t>Гривенское</t>
  </si>
  <si>
    <t>03619406</t>
  </si>
  <si>
    <t>117</t>
  </si>
  <si>
    <t>Гришковское</t>
  </si>
  <si>
    <t>03619407</t>
  </si>
  <si>
    <t>118</t>
  </si>
  <si>
    <t>Джумайловское</t>
  </si>
  <si>
    <t>03619408</t>
  </si>
  <si>
    <t>119</t>
  </si>
  <si>
    <t>120</t>
  </si>
  <si>
    <t>Калининское</t>
  </si>
  <si>
    <t>03619420</t>
  </si>
  <si>
    <t>121</t>
  </si>
  <si>
    <t>Куйбышевское</t>
  </si>
  <si>
    <t>03619422</t>
  </si>
  <si>
    <t>122</t>
  </si>
  <si>
    <t>Новониколаевское</t>
  </si>
  <si>
    <t>03619427</t>
  </si>
  <si>
    <t>123</t>
  </si>
  <si>
    <t>Старовеличковское</t>
  </si>
  <si>
    <t>03619435</t>
  </si>
  <si>
    <t>124</t>
  </si>
  <si>
    <t>Каневской муниципальный район</t>
  </si>
  <si>
    <t>03620000</t>
  </si>
  <si>
    <t>Каневское</t>
  </si>
  <si>
    <t>03620402</t>
  </si>
  <si>
    <t>125</t>
  </si>
  <si>
    <t>126</t>
  </si>
  <si>
    <t>Красногвардейское</t>
  </si>
  <si>
    <t>03620404</t>
  </si>
  <si>
    <t>127</t>
  </si>
  <si>
    <t>Кубанскостепное</t>
  </si>
  <si>
    <t>03620405</t>
  </si>
  <si>
    <t>128</t>
  </si>
  <si>
    <t>Новодеревянковское</t>
  </si>
  <si>
    <t>03620407</t>
  </si>
  <si>
    <t>129</t>
  </si>
  <si>
    <t>Новоминское</t>
  </si>
  <si>
    <t>03620410</t>
  </si>
  <si>
    <t>130</t>
  </si>
  <si>
    <t>Привольненское</t>
  </si>
  <si>
    <t>03620413</t>
  </si>
  <si>
    <t>131</t>
  </si>
  <si>
    <t>Придорожное</t>
  </si>
  <si>
    <t>03620414</t>
  </si>
  <si>
    <t>132</t>
  </si>
  <si>
    <t>Стародеревянковское</t>
  </si>
  <si>
    <t>03620416</t>
  </si>
  <si>
    <t>133</t>
  </si>
  <si>
    <t>Челбасское</t>
  </si>
  <si>
    <t>03620419</t>
  </si>
  <si>
    <t>134</t>
  </si>
  <si>
    <t>Кореновский муниципальный район</t>
  </si>
  <si>
    <t>03621000</t>
  </si>
  <si>
    <t>Братковское</t>
  </si>
  <si>
    <t>03621402</t>
  </si>
  <si>
    <t>135</t>
  </si>
  <si>
    <t>Бураковское</t>
  </si>
  <si>
    <t>03621404</t>
  </si>
  <si>
    <t>136</t>
  </si>
  <si>
    <t>Дядьковское</t>
  </si>
  <si>
    <t>03621407</t>
  </si>
  <si>
    <t>137</t>
  </si>
  <si>
    <t>Журавское</t>
  </si>
  <si>
    <t>03621410</t>
  </si>
  <si>
    <t>138</t>
  </si>
  <si>
    <t>139</t>
  </si>
  <si>
    <t>Кореновское городское</t>
  </si>
  <si>
    <t>03621101</t>
  </si>
  <si>
    <t>140</t>
  </si>
  <si>
    <t>Новоберезанское</t>
  </si>
  <si>
    <t>03621413</t>
  </si>
  <si>
    <t>141</t>
  </si>
  <si>
    <t>Платнировское</t>
  </si>
  <si>
    <t>03621419</t>
  </si>
  <si>
    <t>142</t>
  </si>
  <si>
    <t>Пролетарское</t>
  </si>
  <si>
    <t>03621422</t>
  </si>
  <si>
    <t>143</t>
  </si>
  <si>
    <t>Раздольненское</t>
  </si>
  <si>
    <t>03621425</t>
  </si>
  <si>
    <t>144</t>
  </si>
  <si>
    <t>Сергиевское</t>
  </si>
  <si>
    <t>03621428</t>
  </si>
  <si>
    <t>145</t>
  </si>
  <si>
    <t>Красноармейский муниципальный район</t>
  </si>
  <si>
    <t>03623000</t>
  </si>
  <si>
    <t>Ивановское</t>
  </si>
  <si>
    <t>03623407</t>
  </si>
  <si>
    <t>146</t>
  </si>
  <si>
    <t>147</t>
  </si>
  <si>
    <t>Марьянское</t>
  </si>
  <si>
    <t>03623412</t>
  </si>
  <si>
    <t>148</t>
  </si>
  <si>
    <t>Новомышастовское</t>
  </si>
  <si>
    <t>03623413</t>
  </si>
  <si>
    <t>149</t>
  </si>
  <si>
    <t>Октябрьское</t>
  </si>
  <si>
    <t>03623419</t>
  </si>
  <si>
    <t>150</t>
  </si>
  <si>
    <t>Полтавское</t>
  </si>
  <si>
    <t>03623410</t>
  </si>
  <si>
    <t>151</t>
  </si>
  <si>
    <t>Протичкинское</t>
  </si>
  <si>
    <t>03623420</t>
  </si>
  <si>
    <t>152</t>
  </si>
  <si>
    <t>Староджерелиевское</t>
  </si>
  <si>
    <t>03623422</t>
  </si>
  <si>
    <t>153</t>
  </si>
  <si>
    <t>Старонижестеблиевское</t>
  </si>
  <si>
    <t>03623425</t>
  </si>
  <si>
    <t>154</t>
  </si>
  <si>
    <t>Трудобеликовское</t>
  </si>
  <si>
    <t>03623428</t>
  </si>
  <si>
    <t>155</t>
  </si>
  <si>
    <t>Чебургольское</t>
  </si>
  <si>
    <t>03623431</t>
  </si>
  <si>
    <t>156</t>
  </si>
  <si>
    <t>Крыловский муниципальный район</t>
  </si>
  <si>
    <t>03624000</t>
  </si>
  <si>
    <t>157</t>
  </si>
  <si>
    <t>Крыловское</t>
  </si>
  <si>
    <t>03624411</t>
  </si>
  <si>
    <t>158</t>
  </si>
  <si>
    <t>Кугоейское</t>
  </si>
  <si>
    <t>03624414</t>
  </si>
  <si>
    <t>159</t>
  </si>
  <si>
    <t>Новопашковское</t>
  </si>
  <si>
    <t>03624418</t>
  </si>
  <si>
    <t>160</t>
  </si>
  <si>
    <t>Новосергиевское</t>
  </si>
  <si>
    <t>03624421</t>
  </si>
  <si>
    <t>161</t>
  </si>
  <si>
    <t>03624424</t>
  </si>
  <si>
    <t>162</t>
  </si>
  <si>
    <t>Шевченковское</t>
  </si>
  <si>
    <t>03624430</t>
  </si>
  <si>
    <t>163</t>
  </si>
  <si>
    <t>Крымский муниципальный район</t>
  </si>
  <si>
    <t>03625000</t>
  </si>
  <si>
    <t>Адагумское</t>
  </si>
  <si>
    <t>03625402</t>
  </si>
  <si>
    <t>164</t>
  </si>
  <si>
    <t>Варениковское</t>
  </si>
  <si>
    <t>03625404</t>
  </si>
  <si>
    <t>165</t>
  </si>
  <si>
    <t>Кеслеровское</t>
  </si>
  <si>
    <t>03625407</t>
  </si>
  <si>
    <t>166</t>
  </si>
  <si>
    <t>Киевское</t>
  </si>
  <si>
    <t>03625410</t>
  </si>
  <si>
    <t>167</t>
  </si>
  <si>
    <t>168</t>
  </si>
  <si>
    <t>Крымское городское</t>
  </si>
  <si>
    <t>03625101</t>
  </si>
  <si>
    <t>169</t>
  </si>
  <si>
    <t>Мерчанское</t>
  </si>
  <si>
    <t>03625416</t>
  </si>
  <si>
    <t>170</t>
  </si>
  <si>
    <t>Молдаванское</t>
  </si>
  <si>
    <t>03625419</t>
  </si>
  <si>
    <t>171</t>
  </si>
  <si>
    <t>Нижнебаканское</t>
  </si>
  <si>
    <t>03625412</t>
  </si>
  <si>
    <t>172</t>
  </si>
  <si>
    <t>Пригородное</t>
  </si>
  <si>
    <t>03625413</t>
  </si>
  <si>
    <t>173</t>
  </si>
  <si>
    <t>Троицкое</t>
  </si>
  <si>
    <t>03625422</t>
  </si>
  <si>
    <t>174</t>
  </si>
  <si>
    <t>Южное</t>
  </si>
  <si>
    <t>03625431</t>
  </si>
  <si>
    <t>175</t>
  </si>
  <si>
    <t>Курганинский муниципальный район</t>
  </si>
  <si>
    <t>03627000</t>
  </si>
  <si>
    <t>Безводное</t>
  </si>
  <si>
    <t>03627402</t>
  </si>
  <si>
    <t>176</t>
  </si>
  <si>
    <t>Воздвиженское</t>
  </si>
  <si>
    <t>03627404</t>
  </si>
  <si>
    <t>177</t>
  </si>
  <si>
    <t>Константиновское</t>
  </si>
  <si>
    <t>03627407</t>
  </si>
  <si>
    <t>178</t>
  </si>
  <si>
    <t>179</t>
  </si>
  <si>
    <t>Курганинское городское</t>
  </si>
  <si>
    <t>03627101</t>
  </si>
  <si>
    <t>180</t>
  </si>
  <si>
    <t>Михайловское</t>
  </si>
  <si>
    <t>03627410</t>
  </si>
  <si>
    <t>181</t>
  </si>
  <si>
    <t>Новоалексеевское</t>
  </si>
  <si>
    <t>03627413</t>
  </si>
  <si>
    <t>182</t>
  </si>
  <si>
    <t>03627416</t>
  </si>
  <si>
    <t>183</t>
  </si>
  <si>
    <t>Петропавловское</t>
  </si>
  <si>
    <t>03627419</t>
  </si>
  <si>
    <t>184</t>
  </si>
  <si>
    <t>03627422</t>
  </si>
  <si>
    <t>185</t>
  </si>
  <si>
    <t>Темиргоевское</t>
  </si>
  <si>
    <t>03627425</t>
  </si>
  <si>
    <t>186</t>
  </si>
  <si>
    <t>Кущевский муниципальный район</t>
  </si>
  <si>
    <t>03628000</t>
  </si>
  <si>
    <t>Глебовское</t>
  </si>
  <si>
    <t>03628403</t>
  </si>
  <si>
    <t>187</t>
  </si>
  <si>
    <t>Ильинское</t>
  </si>
  <si>
    <t>03628404</t>
  </si>
  <si>
    <t>188</t>
  </si>
  <si>
    <t>Кисляковское</t>
  </si>
  <si>
    <t>03628407</t>
  </si>
  <si>
    <t>189</t>
  </si>
  <si>
    <t>Краснополянское</t>
  </si>
  <si>
    <t>03628402</t>
  </si>
  <si>
    <t>190</t>
  </si>
  <si>
    <t>03628410</t>
  </si>
  <si>
    <t>191</t>
  </si>
  <si>
    <t>192</t>
  </si>
  <si>
    <t>Кущевское</t>
  </si>
  <si>
    <t>03628416</t>
  </si>
  <si>
    <t>193</t>
  </si>
  <si>
    <t>Новомихайловское</t>
  </si>
  <si>
    <t>03628420</t>
  </si>
  <si>
    <t>194</t>
  </si>
  <si>
    <t>03628422</t>
  </si>
  <si>
    <t>195</t>
  </si>
  <si>
    <t>Полтавченское</t>
  </si>
  <si>
    <t>03628425</t>
  </si>
  <si>
    <t>196</t>
  </si>
  <si>
    <t>03628428</t>
  </si>
  <si>
    <t>197</t>
  </si>
  <si>
    <t>Среднечубуркское</t>
  </si>
  <si>
    <t>03628429</t>
  </si>
  <si>
    <t>198</t>
  </si>
  <si>
    <t>Шкуринское</t>
  </si>
  <si>
    <t>03628431</t>
  </si>
  <si>
    <t>199</t>
  </si>
  <si>
    <t>Лабинский муниципальный район</t>
  </si>
  <si>
    <t>03630000</t>
  </si>
  <si>
    <t>Ахметовское</t>
  </si>
  <si>
    <t>03630404</t>
  </si>
  <si>
    <t>200</t>
  </si>
  <si>
    <t>Владимирское</t>
  </si>
  <si>
    <t>03630416</t>
  </si>
  <si>
    <t>201</t>
  </si>
  <si>
    <t>Вознесенское</t>
  </si>
  <si>
    <t>03630419</t>
  </si>
  <si>
    <t>202</t>
  </si>
  <si>
    <t>Зассовское</t>
  </si>
  <si>
    <t>03630425</t>
  </si>
  <si>
    <t>203</t>
  </si>
  <si>
    <t>Каладжинское</t>
  </si>
  <si>
    <t>03630428</t>
  </si>
  <si>
    <t>204</t>
  </si>
  <si>
    <t>205</t>
  </si>
  <si>
    <t>Лабинское городское</t>
  </si>
  <si>
    <t>03630101</t>
  </si>
  <si>
    <t>206</t>
  </si>
  <si>
    <t>Лучевое</t>
  </si>
  <si>
    <t>03630439</t>
  </si>
  <si>
    <t>207</t>
  </si>
  <si>
    <t>Отважненское</t>
  </si>
  <si>
    <t>03630443</t>
  </si>
  <si>
    <t>208</t>
  </si>
  <si>
    <t>Первосинюхинское</t>
  </si>
  <si>
    <t>03630446</t>
  </si>
  <si>
    <t>209</t>
  </si>
  <si>
    <t>Сладковское</t>
  </si>
  <si>
    <t>03630450</t>
  </si>
  <si>
    <t>210</t>
  </si>
  <si>
    <t>Упорненское</t>
  </si>
  <si>
    <t>03630455</t>
  </si>
  <si>
    <t>211</t>
  </si>
  <si>
    <t>Харьковское</t>
  </si>
  <si>
    <t>03630458</t>
  </si>
  <si>
    <t>212</t>
  </si>
  <si>
    <t>Чамлыкское</t>
  </si>
  <si>
    <t>03630437</t>
  </si>
  <si>
    <t>213</t>
  </si>
  <si>
    <t>Ленинградский муниципальный район</t>
  </si>
  <si>
    <t>03632000</t>
  </si>
  <si>
    <t>Белохуторское</t>
  </si>
  <si>
    <t>03632401</t>
  </si>
  <si>
    <t>214</t>
  </si>
  <si>
    <t>Восточное</t>
  </si>
  <si>
    <t>03632402</t>
  </si>
  <si>
    <t>215</t>
  </si>
  <si>
    <t>Западное</t>
  </si>
  <si>
    <t>03632420</t>
  </si>
  <si>
    <t>216</t>
  </si>
  <si>
    <t>Коржовское</t>
  </si>
  <si>
    <t>03632403</t>
  </si>
  <si>
    <t>217</t>
  </si>
  <si>
    <t>03632404</t>
  </si>
  <si>
    <t>218</t>
  </si>
  <si>
    <t>Куликовское</t>
  </si>
  <si>
    <t>03632407</t>
  </si>
  <si>
    <t>219</t>
  </si>
  <si>
    <t>220</t>
  </si>
  <si>
    <t>Ленинградское</t>
  </si>
  <si>
    <t>03632410</t>
  </si>
  <si>
    <t>221</t>
  </si>
  <si>
    <t>Новоплатнировское</t>
  </si>
  <si>
    <t>03632413</t>
  </si>
  <si>
    <t>222</t>
  </si>
  <si>
    <t>Новоуманское</t>
  </si>
  <si>
    <t>03632414</t>
  </si>
  <si>
    <t>223</t>
  </si>
  <si>
    <t>Образцовое</t>
  </si>
  <si>
    <t>03632415</t>
  </si>
  <si>
    <t>224</t>
  </si>
  <si>
    <t>03632417</t>
  </si>
  <si>
    <t>225</t>
  </si>
  <si>
    <t>Уманское</t>
  </si>
  <si>
    <t>03632416</t>
  </si>
  <si>
    <t>226</t>
  </si>
  <si>
    <t>Мостовский муниципальный район</t>
  </si>
  <si>
    <t>03633000</t>
  </si>
  <si>
    <t>Андрюковское</t>
  </si>
  <si>
    <t>03633404</t>
  </si>
  <si>
    <t>227</t>
  </si>
  <si>
    <t>Баговское</t>
  </si>
  <si>
    <t>03633407</t>
  </si>
  <si>
    <t>228</t>
  </si>
  <si>
    <t>Беноковское</t>
  </si>
  <si>
    <t>03633410</t>
  </si>
  <si>
    <t>229</t>
  </si>
  <si>
    <t>Бесленеевское</t>
  </si>
  <si>
    <t>03633413</t>
  </si>
  <si>
    <t>230</t>
  </si>
  <si>
    <t>Губское</t>
  </si>
  <si>
    <t>03633422</t>
  </si>
  <si>
    <t>231</t>
  </si>
  <si>
    <t>Костромское</t>
  </si>
  <si>
    <t>03633431</t>
  </si>
  <si>
    <t>232</t>
  </si>
  <si>
    <t>Краснокутское</t>
  </si>
  <si>
    <t>03633434</t>
  </si>
  <si>
    <t>233</t>
  </si>
  <si>
    <t>Махошевское</t>
  </si>
  <si>
    <t>03633440</t>
  </si>
  <si>
    <t>234</t>
  </si>
  <si>
    <t>235</t>
  </si>
  <si>
    <t>Мостовское городское</t>
  </si>
  <si>
    <t>03633151</t>
  </si>
  <si>
    <t>236</t>
  </si>
  <si>
    <t>Переправненское</t>
  </si>
  <si>
    <t>03633449</t>
  </si>
  <si>
    <t>237</t>
  </si>
  <si>
    <t>Псебайское городское</t>
  </si>
  <si>
    <t>03633156</t>
  </si>
  <si>
    <t>238</t>
  </si>
  <si>
    <t>Унароковское</t>
  </si>
  <si>
    <t>03633452</t>
  </si>
  <si>
    <t>239</t>
  </si>
  <si>
    <t>Шедокское</t>
  </si>
  <si>
    <t>03633461</t>
  </si>
  <si>
    <t>240</t>
  </si>
  <si>
    <t>Ярославское</t>
  </si>
  <si>
    <t>03633464</t>
  </si>
  <si>
    <t>241</t>
  </si>
  <si>
    <t>Новокубанский муниципальный район</t>
  </si>
  <si>
    <t>03634000</t>
  </si>
  <si>
    <t>Бесскорбненское</t>
  </si>
  <si>
    <t>03634402</t>
  </si>
  <si>
    <t>242</t>
  </si>
  <si>
    <t>Верхнекубанское</t>
  </si>
  <si>
    <t>03634403</t>
  </si>
  <si>
    <t>243</t>
  </si>
  <si>
    <t>Ковалевское</t>
  </si>
  <si>
    <t>03634407</t>
  </si>
  <si>
    <t>244</t>
  </si>
  <si>
    <t>Ляпинское</t>
  </si>
  <si>
    <t>03634413</t>
  </si>
  <si>
    <t>245</t>
  </si>
  <si>
    <t>246</t>
  </si>
  <si>
    <t>Новокубанское городское</t>
  </si>
  <si>
    <t>03634101</t>
  </si>
  <si>
    <t>247</t>
  </si>
  <si>
    <t>03634422</t>
  </si>
  <si>
    <t>248</t>
  </si>
  <si>
    <t>Прикубанское</t>
  </si>
  <si>
    <t>03634425</t>
  </si>
  <si>
    <t>249</t>
  </si>
  <si>
    <t>Прочноокопское</t>
  </si>
  <si>
    <t>03634428</t>
  </si>
  <si>
    <t>250</t>
  </si>
  <si>
    <t>Советское</t>
  </si>
  <si>
    <t>03634431</t>
  </si>
  <si>
    <t>251</t>
  </si>
  <si>
    <t>Новопокровский муниципальный район</t>
  </si>
  <si>
    <t>03635000</t>
  </si>
  <si>
    <t>Горькобалковское</t>
  </si>
  <si>
    <t>03635402</t>
  </si>
  <si>
    <t>252</t>
  </si>
  <si>
    <t>03635404</t>
  </si>
  <si>
    <t>253</t>
  </si>
  <si>
    <t>Калниболотское</t>
  </si>
  <si>
    <t>03635407</t>
  </si>
  <si>
    <t>254</t>
  </si>
  <si>
    <t>03635410</t>
  </si>
  <si>
    <t>255</t>
  </si>
  <si>
    <t>Незамаевское</t>
  </si>
  <si>
    <t>03635413</t>
  </si>
  <si>
    <t>256</t>
  </si>
  <si>
    <t>Новоивановское</t>
  </si>
  <si>
    <t>03635416</t>
  </si>
  <si>
    <t>257</t>
  </si>
  <si>
    <t>258</t>
  </si>
  <si>
    <t>Новопокровское</t>
  </si>
  <si>
    <t>03635419</t>
  </si>
  <si>
    <t>259</t>
  </si>
  <si>
    <t>Покровское</t>
  </si>
  <si>
    <t>03635422</t>
  </si>
  <si>
    <t>260</t>
  </si>
  <si>
    <t>Отрадненский муниципальный район</t>
  </si>
  <si>
    <t>03637000</t>
  </si>
  <si>
    <t>Бесстрашненское</t>
  </si>
  <si>
    <t>03637401</t>
  </si>
  <si>
    <t>261</t>
  </si>
  <si>
    <t>Благодарненское</t>
  </si>
  <si>
    <t>03637402</t>
  </si>
  <si>
    <t>262</t>
  </si>
  <si>
    <t>03637404</t>
  </si>
  <si>
    <t>263</t>
  </si>
  <si>
    <t>Малотенгинское</t>
  </si>
  <si>
    <t>03637407</t>
  </si>
  <si>
    <t>264</t>
  </si>
  <si>
    <t>Маякское</t>
  </si>
  <si>
    <t>03637408</t>
  </si>
  <si>
    <t>265</t>
  </si>
  <si>
    <t>Надежненское</t>
  </si>
  <si>
    <t>03637410</t>
  </si>
  <si>
    <t>266</t>
  </si>
  <si>
    <t>267</t>
  </si>
  <si>
    <t>Отрадненское</t>
  </si>
  <si>
    <t>03637413</t>
  </si>
  <si>
    <t>268</t>
  </si>
  <si>
    <t>Передовское</t>
  </si>
  <si>
    <t>03637416</t>
  </si>
  <si>
    <t>269</t>
  </si>
  <si>
    <t>Подгорненское</t>
  </si>
  <si>
    <t>03637419</t>
  </si>
  <si>
    <t>270</t>
  </si>
  <si>
    <t>Подгорно-Синюхинское</t>
  </si>
  <si>
    <t>03637422</t>
  </si>
  <si>
    <t>271</t>
  </si>
  <si>
    <t>Попутненское</t>
  </si>
  <si>
    <t>03637425</t>
  </si>
  <si>
    <t>272</t>
  </si>
  <si>
    <t>Рудьевское</t>
  </si>
  <si>
    <t>03637426</t>
  </si>
  <si>
    <t>273</t>
  </si>
  <si>
    <t>Спокойненское</t>
  </si>
  <si>
    <t>03637428</t>
  </si>
  <si>
    <t>274</t>
  </si>
  <si>
    <t>Удобненское</t>
  </si>
  <si>
    <t>03637431</t>
  </si>
  <si>
    <t>275</t>
  </si>
  <si>
    <t>Павловский муниципальный район</t>
  </si>
  <si>
    <t>03639000</t>
  </si>
  <si>
    <t>Атаманское</t>
  </si>
  <si>
    <t>03639402</t>
  </si>
  <si>
    <t>276</t>
  </si>
  <si>
    <t>Веселовское</t>
  </si>
  <si>
    <t>03639404</t>
  </si>
  <si>
    <t>277</t>
  </si>
  <si>
    <t>03639410</t>
  </si>
  <si>
    <t>278</t>
  </si>
  <si>
    <t>Новолеушковское</t>
  </si>
  <si>
    <t>03639413</t>
  </si>
  <si>
    <t>279</t>
  </si>
  <si>
    <t>Новопетровское</t>
  </si>
  <si>
    <t>03639419</t>
  </si>
  <si>
    <t>280</t>
  </si>
  <si>
    <t>Новопластуновское</t>
  </si>
  <si>
    <t>03639422</t>
  </si>
  <si>
    <t>281</t>
  </si>
  <si>
    <t>282</t>
  </si>
  <si>
    <t>Павловское</t>
  </si>
  <si>
    <t>03639428</t>
  </si>
  <si>
    <t>283</t>
  </si>
  <si>
    <t>Северное</t>
  </si>
  <si>
    <t>03639430</t>
  </si>
  <si>
    <t>284</t>
  </si>
  <si>
    <t>Среднечелбасское</t>
  </si>
  <si>
    <t>03639431</t>
  </si>
  <si>
    <t>285</t>
  </si>
  <si>
    <t>Старолеушковское</t>
  </si>
  <si>
    <t>03639434</t>
  </si>
  <si>
    <t>286</t>
  </si>
  <si>
    <t>03639440</t>
  </si>
  <si>
    <t>287</t>
  </si>
  <si>
    <t>Приморско-Ахтарский муниципальный район</t>
  </si>
  <si>
    <t>03641000</t>
  </si>
  <si>
    <t>Ахтарское</t>
  </si>
  <si>
    <t>03641401</t>
  </si>
  <si>
    <t>288</t>
  </si>
  <si>
    <t>Бородинское</t>
  </si>
  <si>
    <t>03641402</t>
  </si>
  <si>
    <t>289</t>
  </si>
  <si>
    <t>Бриньковское</t>
  </si>
  <si>
    <t>03641404</t>
  </si>
  <si>
    <t>290</t>
  </si>
  <si>
    <t>03641407</t>
  </si>
  <si>
    <t>291</t>
  </si>
  <si>
    <t>03641410</t>
  </si>
  <si>
    <t>292</t>
  </si>
  <si>
    <t>Приазовское</t>
  </si>
  <si>
    <t>03641413</t>
  </si>
  <si>
    <t>293</t>
  </si>
  <si>
    <t>294</t>
  </si>
  <si>
    <t>Приморско-Ахтарское городское</t>
  </si>
  <si>
    <t>03641101</t>
  </si>
  <si>
    <t>295</t>
  </si>
  <si>
    <t>Свободное</t>
  </si>
  <si>
    <t>03641416</t>
  </si>
  <si>
    <t>296</t>
  </si>
  <si>
    <t>Степное</t>
  </si>
  <si>
    <t>03641419</t>
  </si>
  <si>
    <t>297</t>
  </si>
  <si>
    <t>Северский муниципальный район</t>
  </si>
  <si>
    <t>03643000</t>
  </si>
  <si>
    <t>Азовское</t>
  </si>
  <si>
    <t>03643402</t>
  </si>
  <si>
    <t>298</t>
  </si>
  <si>
    <t>Афипское городское</t>
  </si>
  <si>
    <t>03643152</t>
  </si>
  <si>
    <t>299</t>
  </si>
  <si>
    <t>Григорьевское</t>
  </si>
  <si>
    <t>03643404</t>
  </si>
  <si>
    <t>300</t>
  </si>
  <si>
    <t>Ильское городское</t>
  </si>
  <si>
    <t>03643155</t>
  </si>
  <si>
    <t>301</t>
  </si>
  <si>
    <t>Калужское</t>
  </si>
  <si>
    <t>03643406</t>
  </si>
  <si>
    <t>302</t>
  </si>
  <si>
    <t>Львовское</t>
  </si>
  <si>
    <t>03643407</t>
  </si>
  <si>
    <t>303</t>
  </si>
  <si>
    <t>03643408</t>
  </si>
  <si>
    <t>304</t>
  </si>
  <si>
    <t>Новодмитриевское</t>
  </si>
  <si>
    <t>03643410</t>
  </si>
  <si>
    <t>305</t>
  </si>
  <si>
    <t>306</t>
  </si>
  <si>
    <t>Северское</t>
  </si>
  <si>
    <t>03643413</t>
  </si>
  <si>
    <t>307</t>
  </si>
  <si>
    <t>Смоленское</t>
  </si>
  <si>
    <t>03643416</t>
  </si>
  <si>
    <t>308</t>
  </si>
  <si>
    <t>Черноморское</t>
  </si>
  <si>
    <t>03643158</t>
  </si>
  <si>
    <t>309</t>
  </si>
  <si>
    <t>Шабановское</t>
  </si>
  <si>
    <t>03643419</t>
  </si>
  <si>
    <t>310</t>
  </si>
  <si>
    <t>Сириус</t>
  </si>
  <si>
    <t>03731000</t>
  </si>
  <si>
    <t>311</t>
  </si>
  <si>
    <t>Славянский муниципальный район</t>
  </si>
  <si>
    <t>03645000</t>
  </si>
  <si>
    <t>Анастасиевское</t>
  </si>
  <si>
    <t>03645402</t>
  </si>
  <si>
    <t>312</t>
  </si>
  <si>
    <t>Ачуевское</t>
  </si>
  <si>
    <t>03645401</t>
  </si>
  <si>
    <t>313</t>
  </si>
  <si>
    <t>Голубая Нива</t>
  </si>
  <si>
    <t>03645403</t>
  </si>
  <si>
    <t>314</t>
  </si>
  <si>
    <t>Забойское</t>
  </si>
  <si>
    <t>03645404</t>
  </si>
  <si>
    <t>315</t>
  </si>
  <si>
    <t>Кировское</t>
  </si>
  <si>
    <t>03645407</t>
  </si>
  <si>
    <t>316</t>
  </si>
  <si>
    <t>Коржевское</t>
  </si>
  <si>
    <t>03645410</t>
  </si>
  <si>
    <t>317</t>
  </si>
  <si>
    <t>Маевское</t>
  </si>
  <si>
    <t>03645412</t>
  </si>
  <si>
    <t>318</t>
  </si>
  <si>
    <t>Петровское</t>
  </si>
  <si>
    <t>03645413</t>
  </si>
  <si>
    <t>319</t>
  </si>
  <si>
    <t>Прибрежное</t>
  </si>
  <si>
    <t>03645414</t>
  </si>
  <si>
    <t>320</t>
  </si>
  <si>
    <t>03645415</t>
  </si>
  <si>
    <t>321</t>
  </si>
  <si>
    <t>Протокское</t>
  </si>
  <si>
    <t>03645416</t>
  </si>
  <si>
    <t>322</t>
  </si>
  <si>
    <t>Рисовое</t>
  </si>
  <si>
    <t>03645420</t>
  </si>
  <si>
    <t>323</t>
  </si>
  <si>
    <t>324</t>
  </si>
  <si>
    <t>Славянское городское</t>
  </si>
  <si>
    <t>03645101</t>
  </si>
  <si>
    <t>325</t>
  </si>
  <si>
    <t>Целинное</t>
  </si>
  <si>
    <t>03645425</t>
  </si>
  <si>
    <t>326</t>
  </si>
  <si>
    <t>Черноерковское</t>
  </si>
  <si>
    <t>03645429</t>
  </si>
  <si>
    <t>327</t>
  </si>
  <si>
    <t>Староминский муниципальный район</t>
  </si>
  <si>
    <t>03647000</t>
  </si>
  <si>
    <t>Канеловское</t>
  </si>
  <si>
    <t>03647402</t>
  </si>
  <si>
    <t>328</t>
  </si>
  <si>
    <t>03647404</t>
  </si>
  <si>
    <t>329</t>
  </si>
  <si>
    <t>Новоясенское</t>
  </si>
  <si>
    <t>03647407</t>
  </si>
  <si>
    <t>330</t>
  </si>
  <si>
    <t>Рассветовское</t>
  </si>
  <si>
    <t>03647410</t>
  </si>
  <si>
    <t>331</t>
  </si>
  <si>
    <t>332</t>
  </si>
  <si>
    <t>Староминское</t>
  </si>
  <si>
    <t>03647413</t>
  </si>
  <si>
    <t>333</t>
  </si>
  <si>
    <t>Тбилисский муниципальный район</t>
  </si>
  <si>
    <t>03649000</t>
  </si>
  <si>
    <t>Алексее-Тенгинское</t>
  </si>
  <si>
    <t>03649401</t>
  </si>
  <si>
    <t>334</t>
  </si>
  <si>
    <t>Ванновское</t>
  </si>
  <si>
    <t>03649402</t>
  </si>
  <si>
    <t>335</t>
  </si>
  <si>
    <t>Геймановское</t>
  </si>
  <si>
    <t>03649404</t>
  </si>
  <si>
    <t>336</t>
  </si>
  <si>
    <t>Ловлинское</t>
  </si>
  <si>
    <t>03649407</t>
  </si>
  <si>
    <t>337</t>
  </si>
  <si>
    <t>Марьинское</t>
  </si>
  <si>
    <t>03649410</t>
  </si>
  <si>
    <t>338</t>
  </si>
  <si>
    <t>Нововладимировское</t>
  </si>
  <si>
    <t>03649413</t>
  </si>
  <si>
    <t>339</t>
  </si>
  <si>
    <t>Песчаное</t>
  </si>
  <si>
    <t>03649416</t>
  </si>
  <si>
    <t>340</t>
  </si>
  <si>
    <t>341</t>
  </si>
  <si>
    <t>Тбилисское</t>
  </si>
  <si>
    <t>03649419</t>
  </si>
  <si>
    <t>342</t>
  </si>
  <si>
    <t>Темрюкский муниципальный район</t>
  </si>
  <si>
    <t>03651000</t>
  </si>
  <si>
    <t>Ахтанизовское</t>
  </si>
  <si>
    <t>03651402</t>
  </si>
  <si>
    <t>343</t>
  </si>
  <si>
    <t>Вышестеблиевское</t>
  </si>
  <si>
    <t>03651404</t>
  </si>
  <si>
    <t>344</t>
  </si>
  <si>
    <t>Голубицкое</t>
  </si>
  <si>
    <t>03651407</t>
  </si>
  <si>
    <t>345</t>
  </si>
  <si>
    <t>Запорожское</t>
  </si>
  <si>
    <t>03651410</t>
  </si>
  <si>
    <t>346</t>
  </si>
  <si>
    <t>Краснострельское</t>
  </si>
  <si>
    <t>03651413</t>
  </si>
  <si>
    <t>347</t>
  </si>
  <si>
    <t>Курчанское</t>
  </si>
  <si>
    <t>03651416</t>
  </si>
  <si>
    <t>348</t>
  </si>
  <si>
    <t>Новотаманское</t>
  </si>
  <si>
    <t>03651418</t>
  </si>
  <si>
    <t>349</t>
  </si>
  <si>
    <t>Сенное</t>
  </si>
  <si>
    <t>03651419</t>
  </si>
  <si>
    <t>350</t>
  </si>
  <si>
    <t>Старотитаровское</t>
  </si>
  <si>
    <t>03651422</t>
  </si>
  <si>
    <t>351</t>
  </si>
  <si>
    <t>Таманское</t>
  </si>
  <si>
    <t>03651425</t>
  </si>
  <si>
    <t>352</t>
  </si>
  <si>
    <t>353</t>
  </si>
  <si>
    <t>Темрюкское городское</t>
  </si>
  <si>
    <t>03651101</t>
  </si>
  <si>
    <t>354</t>
  </si>
  <si>
    <t>Фонталовское</t>
  </si>
  <si>
    <t>03651430</t>
  </si>
  <si>
    <t>355</t>
  </si>
  <si>
    <t>Тимашевский муниципальный район</t>
  </si>
  <si>
    <t>03653000</t>
  </si>
  <si>
    <t>Дербентское</t>
  </si>
  <si>
    <t>03653402</t>
  </si>
  <si>
    <t>356</t>
  </si>
  <si>
    <t>Днепровское</t>
  </si>
  <si>
    <t>03653404</t>
  </si>
  <si>
    <t>357</t>
  </si>
  <si>
    <t>Кубанец</t>
  </si>
  <si>
    <t>03653410</t>
  </si>
  <si>
    <t>358</t>
  </si>
  <si>
    <t>Медведовское</t>
  </si>
  <si>
    <t>03653413</t>
  </si>
  <si>
    <t>359</t>
  </si>
  <si>
    <t>Незаймановское</t>
  </si>
  <si>
    <t>03653416</t>
  </si>
  <si>
    <t>360</t>
  </si>
  <si>
    <t>Новокорсунское</t>
  </si>
  <si>
    <t>03653419</t>
  </si>
  <si>
    <t>361</t>
  </si>
  <si>
    <t>Новоленинское</t>
  </si>
  <si>
    <t>03653422</t>
  </si>
  <si>
    <t>362</t>
  </si>
  <si>
    <t>Поселковое</t>
  </si>
  <si>
    <t>03653425</t>
  </si>
  <si>
    <t>363</t>
  </si>
  <si>
    <t>Роговское</t>
  </si>
  <si>
    <t>03653428</t>
  </si>
  <si>
    <t>364</t>
  </si>
  <si>
    <t>365</t>
  </si>
  <si>
    <t>Тимашевское городское</t>
  </si>
  <si>
    <t>03653101</t>
  </si>
  <si>
    <t>366</t>
  </si>
  <si>
    <t>Тихорецкий муниципальный район</t>
  </si>
  <si>
    <t>03654000</t>
  </si>
  <si>
    <t>Алексеевское</t>
  </si>
  <si>
    <t>03654402</t>
  </si>
  <si>
    <t>367</t>
  </si>
  <si>
    <t>Архангельское</t>
  </si>
  <si>
    <t>03654404</t>
  </si>
  <si>
    <t>368</t>
  </si>
  <si>
    <t>Братское</t>
  </si>
  <si>
    <t>03654405</t>
  </si>
  <si>
    <t>369</t>
  </si>
  <si>
    <t>Еремизино-Борисовское</t>
  </si>
  <si>
    <t>03654407</t>
  </si>
  <si>
    <t>370</t>
  </si>
  <si>
    <t>Новорождественское</t>
  </si>
  <si>
    <t>03654410</t>
  </si>
  <si>
    <t>371</t>
  </si>
  <si>
    <t>03654413</t>
  </si>
  <si>
    <t>372</t>
  </si>
  <si>
    <t>Парковское</t>
  </si>
  <si>
    <t>03654416</t>
  </si>
  <si>
    <t>373</t>
  </si>
  <si>
    <t>Терновское</t>
  </si>
  <si>
    <t>03654419</t>
  </si>
  <si>
    <t>374</t>
  </si>
  <si>
    <t>375</t>
  </si>
  <si>
    <t>Тихорецкое городское</t>
  </si>
  <si>
    <t>03654101</t>
  </si>
  <si>
    <t>376</t>
  </si>
  <si>
    <t>Фастовецкое</t>
  </si>
  <si>
    <t>03654422</t>
  </si>
  <si>
    <t>377</t>
  </si>
  <si>
    <t>Хоперское</t>
  </si>
  <si>
    <t>03654425</t>
  </si>
  <si>
    <t>378</t>
  </si>
  <si>
    <t>Юго-Северное</t>
  </si>
  <si>
    <t>03654435</t>
  </si>
  <si>
    <t>379</t>
  </si>
  <si>
    <t>Туапсинский муниципальный район</t>
  </si>
  <si>
    <t>03655000</t>
  </si>
  <si>
    <t>Вельяминовское</t>
  </si>
  <si>
    <t>03655404</t>
  </si>
  <si>
    <t>380</t>
  </si>
  <si>
    <t>Георгиевское</t>
  </si>
  <si>
    <t>03655407</t>
  </si>
  <si>
    <t>381</t>
  </si>
  <si>
    <t>Джубгское городское</t>
  </si>
  <si>
    <t>03655154</t>
  </si>
  <si>
    <t>382</t>
  </si>
  <si>
    <t>Небугское</t>
  </si>
  <si>
    <t>03655402</t>
  </si>
  <si>
    <t>383</t>
  </si>
  <si>
    <t>Новомихайловское городское</t>
  </si>
  <si>
    <t>03655158</t>
  </si>
  <si>
    <t>384</t>
  </si>
  <si>
    <t>03655410</t>
  </si>
  <si>
    <t>385</t>
  </si>
  <si>
    <t>Тенгинское</t>
  </si>
  <si>
    <t>03655412</t>
  </si>
  <si>
    <t>386</t>
  </si>
  <si>
    <t>387</t>
  </si>
  <si>
    <t>Туапсинское</t>
  </si>
  <si>
    <t>03655101</t>
  </si>
  <si>
    <t>388</t>
  </si>
  <si>
    <t>Шаумянское</t>
  </si>
  <si>
    <t>03655413</t>
  </si>
  <si>
    <t>389</t>
  </si>
  <si>
    <t>Шепсинское</t>
  </si>
  <si>
    <t>03655415</t>
  </si>
  <si>
    <t>390</t>
  </si>
  <si>
    <t>Успенский муниципальный район</t>
  </si>
  <si>
    <t>03656000</t>
  </si>
  <si>
    <t>03656402</t>
  </si>
  <si>
    <t>391</t>
  </si>
  <si>
    <t>Вольненское</t>
  </si>
  <si>
    <t>03656404</t>
  </si>
  <si>
    <t>392</t>
  </si>
  <si>
    <t>Коноковское</t>
  </si>
  <si>
    <t>03656410</t>
  </si>
  <si>
    <t>393</t>
  </si>
  <si>
    <t>Кургоковское</t>
  </si>
  <si>
    <t>03656413</t>
  </si>
  <si>
    <t>394</t>
  </si>
  <si>
    <t>Маламинское</t>
  </si>
  <si>
    <t>03656416</t>
  </si>
  <si>
    <t>395</t>
  </si>
  <si>
    <t>Николаевское</t>
  </si>
  <si>
    <t>03656419</t>
  </si>
  <si>
    <t>396</t>
  </si>
  <si>
    <t>Трехсельское</t>
  </si>
  <si>
    <t>03656434</t>
  </si>
  <si>
    <t>397</t>
  </si>
  <si>
    <t>Убеженское</t>
  </si>
  <si>
    <t>03656437</t>
  </si>
  <si>
    <t>398</t>
  </si>
  <si>
    <t>Урупское</t>
  </si>
  <si>
    <t>03656440</t>
  </si>
  <si>
    <t>399</t>
  </si>
  <si>
    <t>400</t>
  </si>
  <si>
    <t>03656443</t>
  </si>
  <si>
    <t>401</t>
  </si>
  <si>
    <t>Усть-Лабинский муниципальный район</t>
  </si>
  <si>
    <t>03657000</t>
  </si>
  <si>
    <t>03657402</t>
  </si>
  <si>
    <t>402</t>
  </si>
  <si>
    <t>03657404</t>
  </si>
  <si>
    <t>403</t>
  </si>
  <si>
    <t>Вимовское</t>
  </si>
  <si>
    <t>03657405</t>
  </si>
  <si>
    <t>404</t>
  </si>
  <si>
    <t>Воронежское</t>
  </si>
  <si>
    <t>03657407</t>
  </si>
  <si>
    <t>405</t>
  </si>
  <si>
    <t>03657410</t>
  </si>
  <si>
    <t>406</t>
  </si>
  <si>
    <t>Двубратское</t>
  </si>
  <si>
    <t>03657412</t>
  </si>
  <si>
    <t>407</t>
  </si>
  <si>
    <t>Железное</t>
  </si>
  <si>
    <t>03657413</t>
  </si>
  <si>
    <t>408</t>
  </si>
  <si>
    <t>Кирпильское</t>
  </si>
  <si>
    <t>03657416</t>
  </si>
  <si>
    <t>409</t>
  </si>
  <si>
    <t>Ладожское</t>
  </si>
  <si>
    <t>03657419</t>
  </si>
  <si>
    <t>410</t>
  </si>
  <si>
    <t>Ленинское</t>
  </si>
  <si>
    <t>03657422</t>
  </si>
  <si>
    <t>411</t>
  </si>
  <si>
    <t>Некрасовское</t>
  </si>
  <si>
    <t>03657425</t>
  </si>
  <si>
    <t>412</t>
  </si>
  <si>
    <t>Новолабинское</t>
  </si>
  <si>
    <t>03657428</t>
  </si>
  <si>
    <t>413</t>
  </si>
  <si>
    <t>Суворовское</t>
  </si>
  <si>
    <t>03657431</t>
  </si>
  <si>
    <t>414</t>
  </si>
  <si>
    <t>03657433</t>
  </si>
  <si>
    <t>415</t>
  </si>
  <si>
    <t>416</t>
  </si>
  <si>
    <t>Усть-Лабинское городское</t>
  </si>
  <si>
    <t>03657101</t>
  </si>
  <si>
    <t>417</t>
  </si>
  <si>
    <t>Щербиновский муниципальный район</t>
  </si>
  <si>
    <t>03659000</t>
  </si>
  <si>
    <t>Глафировское</t>
  </si>
  <si>
    <t>03659402</t>
  </si>
  <si>
    <t>418</t>
  </si>
  <si>
    <t>Ейскоукрепленское</t>
  </si>
  <si>
    <t>03659404</t>
  </si>
  <si>
    <t>419</t>
  </si>
  <si>
    <t>Екатериновское</t>
  </si>
  <si>
    <t>03659407</t>
  </si>
  <si>
    <t>420</t>
  </si>
  <si>
    <t>03659409</t>
  </si>
  <si>
    <t>421</t>
  </si>
  <si>
    <t>Новощербиновское</t>
  </si>
  <si>
    <t>03659410</t>
  </si>
  <si>
    <t>422</t>
  </si>
  <si>
    <t>Старощербиновское</t>
  </si>
  <si>
    <t>03659413</t>
  </si>
  <si>
    <t>423</t>
  </si>
  <si>
    <t>Шабельское</t>
  </si>
  <si>
    <t>03659416</t>
  </si>
  <si>
    <t>424</t>
  </si>
  <si>
    <t>425</t>
  </si>
  <si>
    <t>Щербиновское</t>
  </si>
  <si>
    <t>03659419</t>
  </si>
  <si>
    <t>426</t>
  </si>
  <si>
    <t>NUMBER_POINT</t>
  </si>
  <si>
    <t>INVP_NAME</t>
  </si>
  <si>
    <t>INVP_ID</t>
  </si>
  <si>
    <t>L_START_DATE</t>
  </si>
  <si>
    <t>L_END_DATE</t>
  </si>
  <si>
    <t>L_DECISION_NAME</t>
  </si>
  <si>
    <t>L_DECISION_TYPE</t>
  </si>
  <si>
    <t>L_DECISION_NMBR</t>
  </si>
  <si>
    <t>L_DECISION_DATE</t>
  </si>
  <si>
    <t>Инвестиционная программа № 12/2020-ИП от 28.10.2020 ГУП КК "Кубаньводкомплекс" в сфере водоснабжения и водоотведения по строительству, реконструкции и модернизации централизованных систем холодного водоснабжения и водоотведения, на территории муниципального района Ейский на 2021-2025 годы</t>
  </si>
  <si>
    <t>01.01.2021</t>
  </si>
  <si>
    <t>31.12.2025</t>
  </si>
  <si>
    <t>Инвестиционная программа № 20/2023-ип от 30.10.2023 АО "АЧ ЭНПП СИРИУС" в сфере водоотведения по развитию систем водоотведения, на территории сельского поселения Сенное, Темрюкский муниципальный район на 2024-2028 годы</t>
  </si>
  <si>
    <t>01.01.2024</t>
  </si>
  <si>
    <t>31.12.2028</t>
  </si>
  <si>
    <t>Инвестиционная программа № 3/2022-ип от 18.10.2022 ООО "Коммунальник" в сфере водоотведения по развитию систем водоотведения, на территории городского поселения Тимашевское городское, Тимашевский муниципальный район на 2023-2027 годы</t>
  </si>
  <si>
    <t>01.01.2023</t>
  </si>
  <si>
    <t>31.12.2027</t>
  </si>
  <si>
    <t>Инвестиционная программа № 6/2020-ИП от 28.10.2020 МУП "ЖКХ Небугского сельского поселения" в сфере водоснабжения и водоотведения по реконструкции и модернизации централизованных систем холодного водоснабжения и водоотведения, на территории сельского поселения Небугское, Туапсинский муниципальный район на 2021-2023 годы</t>
  </si>
  <si>
    <t>31.12.2023</t>
  </si>
  <si>
    <t>Инвестиционная программа № 8/2021-ип от 27.10.2021 ОАО "Водоканал Апшеронского района" в сфере водоснабжения и водоотведения по развитию систем водоснабжения и водоотведения, на территории муниципального района Апшеронский на 2022-2028 годы</t>
  </si>
  <si>
    <t>01.01.2022</t>
  </si>
  <si>
    <t>TER_NAME</t>
  </si>
  <si>
    <t>Территория 1</t>
  </si>
  <si>
    <t>ID_TARIFF_NAME</t>
  </si>
  <si>
    <t>TARIFF_NAME</t>
  </si>
  <si>
    <t>VED_NAME</t>
  </si>
  <si>
    <t>4189714</t>
  </si>
  <si>
    <t>4189713</t>
  </si>
  <si>
    <t>4189712</t>
  </si>
  <si>
    <t>ID</t>
  </si>
  <si>
    <t>LINK_NAME</t>
  </si>
  <si>
    <t>https://portal.eias.ru/Portal/DownloadPage.aspx?type=12&amp;guid=????????-????-????-????-????????????</t>
  </si>
  <si>
    <t>ALL</t>
  </si>
  <si>
    <t>https://eias.fstrf.ru/disclo/get_file?p_guid=????????-????-????-????-????????????</t>
  </si>
  <si>
    <t>Форма</t>
  </si>
  <si>
    <t>Листы</t>
  </si>
  <si>
    <t>optOrganization</t>
  </si>
  <si>
    <t>optROiV</t>
  </si>
  <si>
    <t>optHEAT</t>
  </si>
  <si>
    <t>optCOLDVSNA</t>
  </si>
  <si>
    <t>optVOTV</t>
  </si>
  <si>
    <t>optHOTVSNA</t>
  </si>
  <si>
    <t>optTKO</t>
  </si>
  <si>
    <t>optORG</t>
  </si>
  <si>
    <t>optPRICE</t>
  </si>
  <si>
    <t>optBALANCE</t>
  </si>
  <si>
    <t>optQUARTER</t>
  </si>
  <si>
    <t>optINVEST</t>
  </si>
  <si>
    <t>optTERMS</t>
  </si>
  <si>
    <t>optREQUEST</t>
  </si>
  <si>
    <t>modSave</t>
  </si>
  <si>
    <t>Расчетные листы</t>
  </si>
  <si>
    <t>Скрытые листы</t>
  </si>
  <si>
    <t>Instruction</t>
  </si>
  <si>
    <t>DATA_FORMS</t>
  </si>
  <si>
    <t>modUpdTemplLogger</t>
  </si>
  <si>
    <t>DATA_NPA</t>
  </si>
  <si>
    <t>TITLE</t>
  </si>
  <si>
    <t>TEHSHEET</t>
  </si>
  <si>
    <t>TERRITORY</t>
  </si>
  <si>
    <t>TSH_et_union_hor</t>
  </si>
  <si>
    <t>DIFFERENTIATION</t>
  </si>
  <si>
    <t>modP_T_TERMS</t>
  </si>
  <si>
    <t>DIFFERENTIATION_TARIFF</t>
  </si>
  <si>
    <t>modMainProcedures</t>
  </si>
  <si>
    <t>DIFFERENTIATION_TKO</t>
  </si>
  <si>
    <t>modB_FHD</t>
  </si>
  <si>
    <t>ORG_INFO</t>
  </si>
  <si>
    <t>modB_FHD20</t>
  </si>
  <si>
    <t>ORG_VD</t>
  </si>
  <si>
    <t>modB_KNE</t>
  </si>
  <si>
    <t>ORG_VD_TKO</t>
  </si>
  <si>
    <t>modIP_MAIN</t>
  </si>
  <si>
    <t>ORG_TERRITORY</t>
  </si>
  <si>
    <t>modIP_QRE</t>
  </si>
  <si>
    <t>P_T_TERMS</t>
  </si>
  <si>
    <t>modIP_DETAILED</t>
  </si>
  <si>
    <t>TARIFF_A</t>
  </si>
  <si>
    <t>TSH_et_union_vert</t>
  </si>
  <si>
    <t>TARIFF_B</t>
  </si>
  <si>
    <t>modROIV</t>
  </si>
  <si>
    <t>TARIFF_F</t>
  </si>
  <si>
    <t>modDIFFERENTIATION_TKO</t>
  </si>
  <si>
    <t>TARIFF_C</t>
  </si>
  <si>
    <t>modTARIFF_HEAT</t>
  </si>
  <si>
    <t>TARIFF_E1</t>
  </si>
  <si>
    <t>modTARIFF_COLDVSNA</t>
  </si>
  <si>
    <t>TARIFF_E2</t>
  </si>
  <si>
    <t>modIP_FIN_PLAN</t>
  </si>
  <si>
    <t>TARIFF_D</t>
  </si>
  <si>
    <t>REESTR_IP</t>
  </si>
  <si>
    <t>TARIFF_G</t>
  </si>
  <si>
    <t>modfrmListIP</t>
  </si>
  <si>
    <t>Лист5</t>
  </si>
  <si>
    <t>modfrmActivity</t>
  </si>
  <si>
    <t>Лист6</t>
  </si>
  <si>
    <t>REESTR_DS</t>
  </si>
  <si>
    <t>Лист7</t>
  </si>
  <si>
    <t>REESTR_VED</t>
  </si>
  <si>
    <t>Лист14</t>
  </si>
  <si>
    <t>TSH_REESTR_MO</t>
  </si>
  <si>
    <t>P_PROCEDURE_TC</t>
  </si>
  <si>
    <t>TSH_REESTR_MO_FILTER</t>
  </si>
  <si>
    <t>R_B_Purch</t>
  </si>
  <si>
    <t>REESTR_LINK</t>
  </si>
  <si>
    <t>Q_PH</t>
  </si>
  <si>
    <t>modDIFFERENTIATION_TARIFF</t>
  </si>
  <si>
    <t>Q_TP</t>
  </si>
  <si>
    <t>modDIFFERENTIATION</t>
  </si>
  <si>
    <t>Q_LIMIT</t>
  </si>
  <si>
    <t>modTERRITORY</t>
  </si>
  <si>
    <t>R_Offer</t>
  </si>
  <si>
    <t>modQ_PH</t>
  </si>
  <si>
    <t>TARIFF_A_COLDVSNA</t>
  </si>
  <si>
    <t>modORG_INFO</t>
  </si>
  <si>
    <t>TARIFF_B_COLDVSNA</t>
  </si>
  <si>
    <t>modORG_VD</t>
  </si>
  <si>
    <t>TARIFF_C_COLDVSNA</t>
  </si>
  <si>
    <t>modORG_TERRITORY</t>
  </si>
  <si>
    <t>TARIFF_D_COLDVSNA</t>
  </si>
  <si>
    <t>modfrmSelectTerritory</t>
  </si>
  <si>
    <t>TARIFF_E_COLDVSNA</t>
  </si>
  <si>
    <t>modQ_TP</t>
  </si>
  <si>
    <t>B_FHD</t>
  </si>
  <si>
    <t>modQ_LIMIT</t>
  </si>
  <si>
    <t>B_FHD20</t>
  </si>
  <si>
    <t>modListTempFilter</t>
  </si>
  <si>
    <t>B_FHD_TKO</t>
  </si>
  <si>
    <t>modCheckCyan</t>
  </si>
  <si>
    <t>B_FHD_TKO_TRANS</t>
  </si>
  <si>
    <t>modHTTP</t>
  </si>
  <si>
    <t>B_KNE</t>
  </si>
  <si>
    <t>modfrmRezimChoose</t>
  </si>
  <si>
    <t>IP_MAIN</t>
  </si>
  <si>
    <t>modSheetMain</t>
  </si>
  <si>
    <t>IP_DETAILED</t>
  </si>
  <si>
    <t>REESTR_VT</t>
  </si>
  <si>
    <t>IP_FIN_PLAN</t>
  </si>
  <si>
    <t>modfrmReportMode</t>
  </si>
  <si>
    <t>IP_QRE</t>
  </si>
  <si>
    <t>modfrmReestrObj</t>
  </si>
  <si>
    <t>TARIFF_A_HOTVSNA</t>
  </si>
  <si>
    <t>AllSheetsInThisWorkbook</t>
  </si>
  <si>
    <t>TARIFF_B_HOTVSNA</t>
  </si>
  <si>
    <t>modInstruction</t>
  </si>
  <si>
    <t>TARIFF_C_HOTVSNA</t>
  </si>
  <si>
    <t>modRegion</t>
  </si>
  <si>
    <t>TARIFF_A_VOTV</t>
  </si>
  <si>
    <t>modReestr</t>
  </si>
  <si>
    <t>TARIFF_B_VOTV</t>
  </si>
  <si>
    <t>modfrmReestr</t>
  </si>
  <si>
    <t>TARIFF_C_VOTV</t>
  </si>
  <si>
    <t>modUpdTemplMain</t>
  </si>
  <si>
    <t>ED</t>
  </si>
  <si>
    <t>TSH_REESTR_ORG</t>
  </si>
  <si>
    <t>CHANGE_INFO</t>
  </si>
  <si>
    <t>modClassifierValidate</t>
  </si>
  <si>
    <t>ListComm</t>
  </si>
  <si>
    <t>modCHECK</t>
  </si>
  <si>
    <t>CHECK</t>
  </si>
  <si>
    <t>modHyp</t>
  </si>
  <si>
    <t>ROIV_INFO</t>
  </si>
  <si>
    <t>modServiceModule</t>
  </si>
  <si>
    <t>ROIV_ORG</t>
  </si>
  <si>
    <t>modInfo</t>
  </si>
  <si>
    <t>ROIV_CASE</t>
  </si>
  <si>
    <t>modTITLE</t>
  </si>
  <si>
    <t>ROIV_OTV</t>
  </si>
  <si>
    <t>modList02</t>
  </si>
  <si>
    <t>Лист1</t>
  </si>
  <si>
    <t>modED</t>
  </si>
  <si>
    <t>modList05</t>
  </si>
  <si>
    <t>modList06</t>
  </si>
  <si>
    <t>modCHANGE_INFO</t>
  </si>
  <si>
    <t>modList11</t>
  </si>
  <si>
    <t>modList12</t>
  </si>
  <si>
    <t>modfrmDateChoose</t>
  </si>
  <si>
    <t>modComm</t>
  </si>
  <si>
    <t>modThisWorkbook</t>
  </si>
  <si>
    <t>modfrmReestrMR</t>
  </si>
  <si>
    <t>modfrmCheckUpdates</t>
  </si>
  <si>
    <t>Титульный</t>
  </si>
  <si>
    <t>Для выбора того или иного источника публикации выполните двойной щелчок по синей ячейке напротив соответствующего источника._x000d_
ВНИМАНИЕ! Если Вы снимаете галочку с пункта, то будут скрыты и очищены соответствующие строки на листе "Форма 1.0.2"!_x000d_
_x000d_
Опубликование перечисленных в шаблоне показателей на сайте организации в сети Интернет и в печатных изданиях не обязательно, если данный шаблон предоставлен по системе ЕИАС (региональный сегмент).</t>
  </si>
  <si>
    <t>Обязательное опубликование на официальном сайте органа исполнительной власти субъекта Российской Федерации в области государственного регулирования цен (тарифов), и (или) на официальном сайте органа местного самоуправления поселения или городского округа в случае их наделения в соответствии с законом субъекта Российской Федерации полномочиями по государственному регулированию цен (тарифов)предусмотрено пунктом 3 (а) постановления Правительства №6 от 17.01.2013г.</t>
  </si>
  <si>
    <t>Задайте период регулирования, выбрав даты начала и окончания периода регулирования из календаря (иконка справа от указанной ячейки), либо введите дату непосредственно в ячейку в формате - 'ДД.ММ.ГГГГ'</t>
  </si>
  <si>
    <t>Шаблон заполняется раздельно по каждому виду тарифа</t>
  </si>
  <si>
    <t>В зависимости от указанного вида деятельности будут доступны для заполнения поля 'Производство', 'Передача' и 'Сбыт'</t>
  </si>
  <si>
    <t>Если выбрано 'да', на листах с разбивкой по потребителям доступны для заполнения графы для двухставочного ставочного тарифа по группам потребителей</t>
  </si>
  <si>
    <t>Если выбрано 'да', значения тарифов для групп потребителей на листах с разбивкой по потребителям заполнятся автоматически значениями первой группы</t>
  </si>
  <si>
    <t>Если выбрано значение «да» - в шаблоне будет сформирован лист «Форма 1.0.2» для уведомления органа регулирования о публикации информации в печатных изданиях</t>
  </si>
  <si>
    <t xml:space="preserve">По умолчанию установлено значение «первичное раскрытие информации» Это означает, что информация раскрывается в соответствии с установленными сроком и периодичностью. В случае если в уже отправленном шаблоне обнаружена ошибка или произошло изменение информации, исправленный шаблон необходимо отправить с типом отчета «изменения в раскрытой ранее информации». </t>
  </si>
  <si>
    <t>Укажите является ли данное юридическое лицо подразделением(филиалом) другой организации</t>
  </si>
  <si>
    <t>Ссылки на публикации</t>
  </si>
  <si>
    <t>Вводите адрес сайта,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</si>
  <si>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Обосновывающие материалы необходимо загружать с помощью "ЕИАС Мониторинг". Ссылка на инструкцию по загрузке обосновывающих материалов расположена на листе 'Инструкция' в п.'Методология заполнения'._x000d_
_x000d_
Ввводите ссылку,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</si>
  <si>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Если для какого-либо пункта графы 'Наименование источника (сайта или печатного издания)' информация не раскрывалась, то в соответствующем поле укажите - 'не раскрывалась'</t>
  </si>
  <si>
    <t>Список МО</t>
  </si>
  <si>
    <t>В случае, если тариф не дифференцируется по системам теплоснабжения, перечислите все муниципальные районы, в которых организация осуществляет услуги теплоснабжения и сфере оказания услуг по передаче тепловой энергии</t>
  </si>
  <si>
    <t>В случае, если тариф не дифференцируется по системам теплоснабжения, перечислите все муниципальные образования, в которых организация осуществляет услуги теплоснабжения и сфере оказания услуг по передаче тепловой энергии</t>
  </si>
  <si>
    <t>Признак дифференциации тарифа</t>
  </si>
  <si>
    <t>В случае, если тариф не дифференцируется по системам теплоснабжения, укажите "1"._x000d_
Введите значение от 1 до 100, чтобы указать очередной условный порядковый номер системы теплоснабжения</t>
  </si>
  <si>
    <t>Стандарты</t>
  </si>
  <si>
    <t>В качестве примечания Вы можете указать единицу измерения</t>
  </si>
  <si>
    <t>Для корректного формирования Таблицы 25 Формы 1.10 необходимо задать разбивку по диаметрам и способу прокладки тепловых сетей</t>
  </si>
  <si>
    <t>Перечень тарифов</t>
  </si>
  <si>
    <t>Укажите «Да» в поле «Да/Нет», если дифференциация используется._x000d_
В поле «Описание» 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</si>
  <si>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Признаки дифференциации указываются в соответствии с п.6 ст.32 ФЗ РФ от 07.12.2011 №416-ФЗ</t>
  </si>
  <si>
    <t>Укажите «Да» в поле «Да/Нет», если дифференциация используется. В поле «Описание» укажите название ЦС ГВС или любое другое описание</t>
  </si>
  <si>
    <t>Территории</t>
  </si>
  <si>
    <t>Наименование территории действия тарифа для целей идентификации</t>
  </si>
  <si>
    <t>Муниципальные районы и муниципальные образования, на территории которых действует тариф</t>
  </si>
  <si>
    <t>Инструкция</t>
  </si>
  <si>
    <t>Нет доступных обновлений, версия отчёта актуальна</t>
  </si>
</sst>
</file>

<file path=xl/styles.xml><?xml version="1.0" encoding="utf-8"?>
<styleSheet xmlns="http://schemas.openxmlformats.org/spreadsheetml/2006/main" xmlns:mc="http://schemas.openxmlformats.org/markup-compatibility/2006" xmlns:x14ac="http://schemas.microsoft.com/office/spreadsheetml/2009/9/ac" mc:Ignorable="x14ac">
  <numFmts count="11">
    <numFmt numFmtId="171" formatCode="_-* #,##0.00\ _₽_-;\-* #,##0.00\ _₽_-;_-* &quot;-&quot;??\ _₽_-;_-@_-"/>
    <numFmt numFmtId="172" formatCode="_-* #,##0\ _₽_-;\-* #,##0\ _₽_-;_-* &quot;-&quot;\ _₽_-;_-@_-"/>
    <numFmt numFmtId="173" formatCode="_-* #,##0.00\ &quot;₽&quot;_-;\-* #,##0.00\ &quot;₽&quot;_-;_-* &quot;-&quot;??\ &quot;₽&quot;_-;_-@_-"/>
    <numFmt numFmtId="174" formatCode="_-* #,##0\ &quot;₽&quot;_-;\-* #,##0\ &quot;₽&quot;_-;_-* &quot;-&quot;\ &quot;₽&quot;_-;_-@_-"/>
    <numFmt numFmtId="175" formatCode="_-* #,##0.00[$€-1]_-;\-* #,##0.00[$€-1]_-;_-* &quot;-&quot;??[$€-1]_-"/>
    <numFmt numFmtId="176" formatCode="#,##0.0"/>
    <numFmt numFmtId="177" formatCode="#,##0.000"/>
    <numFmt numFmtId="178" formatCode="#,##0.0000"/>
    <numFmt numFmtId="179" formatCode="dd\.mm\.yyyy"/>
    <numFmt numFmtId="180" formatCode="000000"/>
    <numFmt numFmtId="181" formatCode="h:mm;@"/>
  </numFmts>
  <fonts count="130">
    <font>
      <sz val="9"/>
      <color rgb="FF000000"/>
      <name val="Tahoma"/>
      <family val="2"/>
    </font>
    <font>
      <sz val="10"/>
      <color theme="1"/>
      <name val="Arial"/>
      <family val="2"/>
    </font>
    <font>
      <sz val="11"/>
      <color theme="1"/>
      <name val="Calibri"/>
      <family val="2"/>
      <scheme val="minor"/>
    </font>
    <font>
      <sz val="11"/>
      <color theme="0"/>
      <name val="Calibri"/>
      <family val="2"/>
      <scheme val="minor"/>
    </font>
    <font>
      <sz val="11"/>
      <color rgb="FF9C0006"/>
      <name val="Calibri"/>
      <family val="2"/>
      <scheme val="minor"/>
    </font>
    <font>
      <b/>
      <sz val="11"/>
      <color rgb="FFFA7D00"/>
      <name val="Calibri"/>
      <family val="2"/>
      <scheme val="minor"/>
    </font>
    <font>
      <b/>
      <sz val="11"/>
      <color theme="0"/>
      <name val="Calibri"/>
      <family val="2"/>
      <scheme val="minor"/>
    </font>
    <font>
      <sz val="11"/>
      <color indexed="0"/>
      <name val="Calibri"/>
      <family val="2"/>
    </font>
    <font>
      <i/>
      <sz val="11"/>
      <color rgb="FF7F7F7F"/>
      <name val="Calibri"/>
      <family val="2"/>
      <scheme val="minor"/>
    </font>
    <font>
      <sz val="11"/>
      <color rgb="FF006100"/>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sz val="11"/>
      <color rgb="FF3F3F76"/>
      <name val="Calibri"/>
      <family val="2"/>
      <scheme val="minor"/>
    </font>
    <font>
      <sz val="11"/>
      <color rgb="FFFA7D00"/>
      <name val="Calibri"/>
      <family val="2"/>
      <scheme val="minor"/>
    </font>
    <font>
      <sz val="11"/>
      <color rgb="FF9C5700"/>
      <name val="Calibri"/>
      <family val="2"/>
      <scheme val="minor"/>
    </font>
    <font>
      <sz val="12"/>
      <name val="Arial"/>
      <family val="2"/>
    </font>
    <font>
      <b/>
      <sz val="11"/>
      <color rgb="FF3F3F3F"/>
      <name val="Calibri"/>
      <family val="2"/>
      <scheme val="minor"/>
    </font>
    <font>
      <sz val="18"/>
      <color theme="3"/>
      <name val="Cambria"/>
      <family val="2"/>
      <scheme val="major"/>
    </font>
    <font>
      <b/>
      <sz val="11"/>
      <color theme="1"/>
      <name val="Calibri"/>
      <family val="2"/>
      <scheme val="minor"/>
    </font>
    <font>
      <sz val="11"/>
      <color rgb="FFFF0000"/>
      <name val="Calibri"/>
      <family val="2"/>
      <scheme val="minor"/>
    </font>
    <font>
      <sz val="10"/>
      <name val="Helv"/>
      <family val="2"/>
    </font>
    <font>
      <sz val="8"/>
      <name val="Arial"/>
      <family val="2"/>
    </font>
    <font>
      <sz val="9"/>
      <name val="Tahoma"/>
      <family val="2"/>
    </font>
    <font>
      <sz val="8"/>
      <name val="Palatino"/>
      <family val="2"/>
    </font>
    <font>
      <u val="single"/>
      <sz val="10"/>
      <color rgb="FF800080"/>
      <name val="Arial Cyr"/>
      <family val="2"/>
    </font>
    <font>
      <u val="single"/>
      <sz val="10"/>
      <color rgb="FF0000FF"/>
      <name val="Arial Cyr"/>
      <family val="2"/>
    </font>
    <font>
      <sz val="8"/>
      <name val="Helv"/>
      <family val="2"/>
    </font>
    <font>
      <u val="single"/>
      <sz val="9"/>
      <color theme="10"/>
      <name val="Tahoma"/>
      <family val="2"/>
    </font>
    <font>
      <sz val="10"/>
      <name val="Arial"/>
      <family val="2"/>
    </font>
    <font>
      <sz val="10"/>
      <name val="Arial Cyr"/>
      <family val="2"/>
    </font>
    <font>
      <u val="single"/>
      <sz val="9"/>
      <color theme="11"/>
      <name val="Tahoma"/>
      <family val="2"/>
    </font>
    <font>
      <sz val="9"/>
      <color rgb="FFFFFFFF"/>
      <name val="Tahoma"/>
      <family val="2"/>
    </font>
    <font>
      <sz val="9"/>
      <color rgb="FFCC0000"/>
      <name val="Tahoma"/>
      <family val="2"/>
    </font>
    <font>
      <sz val="16"/>
      <name val="Tahoma"/>
      <family val="2"/>
    </font>
    <font>
      <sz val="16"/>
      <color rgb="FFFFFFFF"/>
      <name val="Tahoma"/>
      <family val="2"/>
    </font>
    <font>
      <sz val="9"/>
      <color rgb="FFBCBCBC"/>
      <name val="Tahoma"/>
      <family val="2"/>
    </font>
    <font>
      <sz val="11"/>
      <color rgb="FFBCBCBC"/>
      <name val="Wingdings 2"/>
      <family val="2"/>
    </font>
    <font>
      <b/>
      <u val="single"/>
      <sz val="9"/>
      <name val="Tahoma"/>
      <family val="2"/>
    </font>
    <font>
      <sz val="11"/>
      <name val="Webdings2"/>
      <family val="2"/>
    </font>
    <font>
      <sz val="9"/>
      <color rgb="FF000080"/>
      <name val="Tahoma"/>
      <family val="2"/>
    </font>
    <font>
      <b/>
      <sz val="11"/>
      <color rgb="FF000000"/>
      <name val="Calibri"/>
      <family val="2"/>
    </font>
    <font>
      <sz val="11"/>
      <name val="Wingdings 2"/>
      <family val="2"/>
    </font>
    <font>
      <b/>
      <sz val="9"/>
      <color rgb="FFFFFFFF"/>
      <name val="Tahoma"/>
      <family val="2"/>
    </font>
    <font>
      <b/>
      <u val="single"/>
      <sz val="9"/>
      <color rgb="FF000080"/>
      <name val="Tahoma"/>
      <family val="2"/>
    </font>
    <font>
      <sz val="8"/>
      <name val="Tahoma"/>
      <family val="2"/>
    </font>
    <font>
      <sz val="10"/>
      <name val="Tahoma"/>
      <family val="2"/>
    </font>
    <font>
      <sz val="9"/>
      <color theme="0"/>
      <name val="Tahoma"/>
      <family val="2"/>
    </font>
    <font>
      <sz val="1"/>
      <color theme="0"/>
      <name val="Tahoma"/>
      <family val="2"/>
    </font>
    <font>
      <b/>
      <sz val="1"/>
      <color theme="0"/>
      <name val="Calibri"/>
      <family val="2"/>
    </font>
    <font>
      <b/>
      <sz val="9"/>
      <name val="Tahoma"/>
      <family val="2"/>
    </font>
    <font>
      <sz val="8"/>
      <color rgb="FFBCBCBC"/>
      <name val="Tahoma"/>
      <family val="2"/>
    </font>
    <font>
      <sz val="12"/>
      <color rgb="FF000000"/>
      <name val="Tahoma"/>
      <family val="2"/>
    </font>
    <font>
      <sz val="11"/>
      <color rgb="FF000000"/>
      <name val="Calibri"/>
      <family val="2"/>
    </font>
    <font>
      <u val="single"/>
      <sz val="9"/>
      <color rgb="FF333399"/>
      <name val="Tahoma"/>
      <family val="2"/>
    </font>
    <font>
      <sz val="9"/>
      <color rgb="FFFF0000"/>
      <name val="Tahoma"/>
      <family val="2"/>
    </font>
    <font>
      <sz val="5"/>
      <color rgb="FFFF0000"/>
      <name val="Tahoma"/>
      <family val="2"/>
    </font>
    <font>
      <sz val="11"/>
      <color theme="0"/>
      <name val="Wingdings 2"/>
      <family val="2"/>
    </font>
    <font>
      <sz val="5"/>
      <color theme="0"/>
      <name val="Tahoma"/>
      <family val="2"/>
    </font>
    <font>
      <sz val="3"/>
      <color rgb="FFFFFFFF"/>
      <name val="Tahoma"/>
      <family val="2"/>
    </font>
    <font>
      <sz val="3"/>
      <color rgb="FFCC0000"/>
      <name val="Tahoma"/>
      <family val="2"/>
    </font>
    <font>
      <sz val="3"/>
      <name val="Tahoma"/>
      <family val="2"/>
    </font>
    <font>
      <sz val="3"/>
      <color rgb="FF000000"/>
      <name val="Tahoma"/>
      <family val="2"/>
    </font>
    <font>
      <sz val="3"/>
      <color rgb="FF993300"/>
      <name val="Tahoma"/>
      <family val="2"/>
    </font>
    <font>
      <sz val="1"/>
      <color rgb="FFFFFFFF"/>
      <name val="Tahoma"/>
      <family val="2"/>
    </font>
    <font>
      <sz val="18"/>
      <name val="Tahoma"/>
      <family val="2"/>
    </font>
    <font>
      <sz val="18"/>
      <color rgb="FF000000"/>
      <name val="Tahoma"/>
      <family val="2"/>
    </font>
    <font>
      <sz val="11"/>
      <color rgb="FF000000"/>
      <name val="Tahoma"/>
      <family val="2"/>
    </font>
    <font>
      <sz val="1"/>
      <color rgb="FF000000"/>
      <name val="Tahoma"/>
      <family val="2"/>
    </font>
    <font>
      <sz val="15"/>
      <color rgb="FF000000"/>
      <name val="Tahoma"/>
      <family val="2"/>
    </font>
    <font>
      <sz val="11"/>
      <color theme="0"/>
      <name val="Webdings2"/>
      <family val="2"/>
    </font>
    <font>
      <u val="single"/>
      <sz val="1"/>
      <color rgb="FF333399"/>
      <name val="Tahoma"/>
      <family val="2"/>
    </font>
    <font>
      <sz val="15"/>
      <name val="Tahoma"/>
      <family val="2"/>
    </font>
    <font>
      <sz val="1"/>
      <name val="Tahoma"/>
      <family val="2"/>
    </font>
    <font>
      <b/>
      <sz val="9"/>
      <color rgb="FF000080"/>
      <name val="Tahoma"/>
      <family val="2"/>
    </font>
    <font>
      <sz val="12"/>
      <color theme="0"/>
      <name val="Tahoma"/>
      <family val="2"/>
    </font>
    <font>
      <sz val="9"/>
      <color theme="1"/>
      <name val="Tahoma"/>
      <family val="2"/>
    </font>
    <font>
      <sz val="9"/>
      <color rgb="FF0066CC"/>
      <name val="Tahoma"/>
      <family val="2"/>
    </font>
    <font>
      <b/>
      <sz val="10"/>
      <color theme="1"/>
      <name val="Tahoma"/>
      <family val="2"/>
    </font>
    <font>
      <sz val="10"/>
      <color theme="1"/>
      <name val="Tahoma"/>
      <family val="2"/>
    </font>
    <font>
      <sz val="3"/>
      <color rgb="FFBCBCBC"/>
      <name val="Tahoma"/>
      <family val="2"/>
    </font>
    <font>
      <sz val="1"/>
      <color rgb="FFBCBCBC"/>
      <name val="Tahoma"/>
      <family val="2"/>
    </font>
    <font>
      <sz val="12"/>
      <name val="Marlett"/>
      <family val="2"/>
    </font>
    <font>
      <sz val="9"/>
      <color rgb="FFBCBCBC"/>
      <name val="Wingdings 2"/>
      <family val="2"/>
    </font>
    <font>
      <sz val="12"/>
      <name val="Tahoma"/>
      <family val="2"/>
    </font>
    <font>
      <sz val="15"/>
      <color theme="0"/>
      <name val="Tahoma"/>
      <family val="2"/>
    </font>
    <font>
      <sz val="1"/>
      <color rgb="FFFF0000"/>
      <name val="Tahoma"/>
      <family val="2"/>
    </font>
    <font>
      <b/>
      <sz val="11"/>
      <color theme="0"/>
      <name val="Calibri"/>
      <family val="2"/>
    </font>
    <font>
      <sz val="11"/>
      <color theme="0"/>
      <name val="Tahoma"/>
      <family val="2"/>
    </font>
    <font>
      <sz val="3"/>
      <color theme="0"/>
      <name val="Tahoma"/>
      <family val="2"/>
    </font>
    <font>
      <b/>
      <sz val="3"/>
      <name val="Tahoma"/>
      <family val="2"/>
    </font>
    <font>
      <b/>
      <sz val="9"/>
      <color rgb="FF0070C0"/>
      <name val="Tahoma"/>
      <family val="2"/>
    </font>
    <font>
      <sz val="7"/>
      <name val="Tahoma"/>
      <family val="2"/>
    </font>
    <font>
      <sz val="7"/>
      <color rgb="FFFFFFFF"/>
      <name val="Tahoma"/>
      <family val="2"/>
    </font>
    <font>
      <sz val="7"/>
      <color theme="0" tint="-0.499980002641678"/>
      <name val="Tahoma"/>
      <family val="2"/>
    </font>
    <font>
      <sz val="8"/>
      <color theme="0"/>
      <name val="Tahoma"/>
      <family val="2"/>
    </font>
    <font>
      <sz val="7"/>
      <color rgb="FF000000"/>
      <name val="Tahoma"/>
      <family val="2"/>
    </font>
    <font>
      <b/>
      <sz val="9"/>
      <color theme="0"/>
      <name val="Tahoma"/>
      <family val="2"/>
    </font>
    <font>
      <b/>
      <sz val="1"/>
      <color theme="0"/>
      <name val="Tahoma"/>
      <family val="2"/>
    </font>
    <font>
      <sz val="19"/>
      <color theme="0"/>
      <name val="Tahoma"/>
      <family val="2"/>
    </font>
    <font>
      <sz val="8"/>
      <color rgb="FFFFFFFF"/>
      <name val="Tahoma"/>
      <family val="2"/>
    </font>
    <font>
      <b/>
      <sz val="1"/>
      <name val="Tahoma"/>
      <family val="2"/>
    </font>
    <font>
      <b/>
      <sz val="1"/>
      <color rgb="FF000080"/>
      <name val="Tahoma"/>
      <family val="2"/>
    </font>
    <font>
      <b/>
      <sz val="10"/>
      <name val="Tahoma"/>
      <family val="2"/>
    </font>
    <font>
      <b/>
      <sz val="9"/>
      <color rgb="FF000000"/>
      <name val="Tahoma"/>
      <family val="2"/>
    </font>
    <font>
      <sz val="10"/>
      <color rgb="FF000000"/>
      <name val="Arial"/>
      <family val="2"/>
    </font>
    <font>
      <sz val="8"/>
      <color rgb="FF000080"/>
      <name val="Tahoma"/>
      <family val="2"/>
    </font>
    <font>
      <sz val="1"/>
      <name val="Webdings2"/>
      <family val="2"/>
    </font>
    <font>
      <sz val="1"/>
      <color theme="0"/>
      <name val="Webdings2"/>
      <family val="2"/>
    </font>
    <font>
      <b/>
      <sz val="9"/>
      <name val="Calibri"/>
      <family val="2"/>
    </font>
    <font>
      <sz val="1"/>
      <color rgb="FF000080"/>
      <name val="Tahoma"/>
      <family val="2"/>
    </font>
    <font>
      <sz val="9"/>
      <color theme="0"/>
      <name val="Webdings2"/>
      <family val="2"/>
    </font>
    <font>
      <sz val="1"/>
      <color theme="0"/>
      <name val="Wingdings 2"/>
      <family val="2"/>
    </font>
    <font>
      <sz val="18"/>
      <color theme="0"/>
      <name val="Tahoma"/>
      <family val="2"/>
    </font>
    <font>
      <sz val="9"/>
      <name val="Wingdings 2"/>
      <family val="2"/>
    </font>
    <font>
      <sz val="9"/>
      <color rgb="FFFFFFFF"/>
      <name val="Wingdings 2"/>
      <family val="2"/>
    </font>
    <font>
      <b/>
      <u val="single"/>
      <sz val="11"/>
      <color rgb="FF0000FF"/>
      <name val="Tahoma"/>
      <family val="2"/>
    </font>
    <font>
      <sz val="11"/>
      <color rgb="FFFFFFFF"/>
      <name val="Tahoma"/>
      <family val="2"/>
    </font>
    <font>
      <u val="single"/>
      <sz val="20"/>
      <color rgb="FF003366"/>
      <name val="Tahoma"/>
      <family val="2"/>
    </font>
    <font>
      <b/>
      <sz val="10"/>
      <color rgb="FF000000"/>
      <name val="Tahoma"/>
      <family val="2"/>
    </font>
    <font>
      <sz val="11"/>
      <color rgb="FF000000"/>
      <name val="Marlett"/>
      <family val="2"/>
    </font>
    <font>
      <sz val="10"/>
      <color rgb="FF000000"/>
      <name val="Tahoma"/>
      <family val="2"/>
    </font>
    <font>
      <sz val="14"/>
      <color rgb="FFBCBCBC"/>
      <name val="Calibri"/>
      <family val="2"/>
    </font>
    <font>
      <sz val="9"/>
      <color rgb="FF333399"/>
      <name val="Tahoma"/>
      <family val="2"/>
    </font>
    <font>
      <b/>
      <sz val="8"/>
      <color rgb="FFC0C0C0"/>
      <name val="Wingdings 2"/>
      <family val="2"/>
    </font>
    <font>
      <u val="single"/>
      <sz val="9"/>
      <color rgb="FF000080"/>
      <name val="Tahoma"/>
      <family val="2"/>
    </font>
    <font>
      <b/>
      <sz val="8"/>
      <color theme="0"/>
      <name val="Wingdings 2"/>
      <family val="2"/>
    </font>
    <font>
      <b/>
      <sz val="9"/>
      <color rgb="FFCC0000"/>
      <name val="Tahoma"/>
      <family val="2"/>
    </font>
    <font>
      <u val="single"/>
      <sz val="9"/>
      <name val="Tahoma"/>
      <family val="2"/>
    </font>
    <font>
      <vertAlign val="superscript"/>
      <sz val="9"/>
      <name val="Tahoma"/>
      <family val="2"/>
      <charset val="204"/>
    </font>
  </fonts>
  <fills count="58">
    <fill>
      <patternFill patternType="none"/>
    </fill>
    <fill>
      <patternFill patternType="gray125"/>
    </fill>
    <fill>
      <patternFill patternType="solid">
        <fgColor theme="4" tint="0.800000011920929"/>
        <bgColor indexed="64"/>
      </patternFill>
    </fill>
    <fill>
      <patternFill patternType="solid">
        <fgColor theme="5" tint="0.800000011920929"/>
        <bgColor indexed="64"/>
      </patternFill>
    </fill>
    <fill>
      <patternFill patternType="solid">
        <fgColor theme="6" tint="0.800000011920929"/>
        <bgColor indexed="64"/>
      </patternFill>
    </fill>
    <fill>
      <patternFill patternType="solid">
        <fgColor theme="7" tint="0.800000011920929"/>
        <bgColor indexed="64"/>
      </patternFill>
    </fill>
    <fill>
      <patternFill patternType="solid">
        <fgColor theme="8" tint="0.800000011920929"/>
        <bgColor indexed="64"/>
      </patternFill>
    </fill>
    <fill>
      <patternFill patternType="solid">
        <fgColor theme="9" tint="0.800000011920929"/>
        <bgColor indexed="64"/>
      </patternFill>
    </fill>
    <fill>
      <patternFill patternType="solid">
        <fgColor theme="4" tint="0.600000023841858"/>
        <bgColor indexed="64"/>
      </patternFill>
    </fill>
    <fill>
      <patternFill patternType="solid">
        <fgColor theme="5" tint="0.600000023841858"/>
        <bgColor indexed="64"/>
      </patternFill>
    </fill>
    <fill>
      <patternFill patternType="solid">
        <fgColor theme="6" tint="0.600000023841858"/>
        <bgColor indexed="64"/>
      </patternFill>
    </fill>
    <fill>
      <patternFill patternType="solid">
        <fgColor theme="7" tint="0.600000023841858"/>
        <bgColor indexed="64"/>
      </patternFill>
    </fill>
    <fill>
      <patternFill patternType="solid">
        <fgColor theme="8" tint="0.600000023841858"/>
        <bgColor indexed="64"/>
      </patternFill>
    </fill>
    <fill>
      <patternFill patternType="solid">
        <fgColor theme="9" tint="0.600000023841858"/>
        <bgColor indexed="64"/>
      </patternFill>
    </fill>
    <fill>
      <patternFill patternType="solid">
        <fgColor theme="4" tint="0.400000005960464"/>
        <bgColor indexed="64"/>
      </patternFill>
    </fill>
    <fill>
      <patternFill patternType="solid">
        <fgColor theme="5" tint="0.400000005960464"/>
        <bgColor indexed="64"/>
      </patternFill>
    </fill>
    <fill>
      <patternFill patternType="solid">
        <fgColor theme="6" tint="0.400000005960464"/>
        <bgColor indexed="64"/>
      </patternFill>
    </fill>
    <fill>
      <patternFill patternType="solid">
        <fgColor theme="7" tint="0.400000005960464"/>
        <bgColor indexed="64"/>
      </patternFill>
    </fill>
    <fill>
      <patternFill patternType="solid">
        <fgColor theme="8" tint="0.400000005960464"/>
        <bgColor indexed="64"/>
      </patternFill>
    </fill>
    <fill>
      <patternFill patternType="solid">
        <fgColor theme="9" tint="0.400000005960464"/>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FFC7CE"/>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C99"/>
        <bgColor indexed="64"/>
      </patternFill>
    </fill>
    <fill>
      <patternFill patternType="solid">
        <fgColor rgb="FFFFEB9C"/>
        <bgColor indexed="64"/>
      </patternFill>
    </fill>
    <fill>
      <patternFill patternType="solid">
        <fgColor rgb="FFFFFFCC"/>
        <bgColor indexed="64"/>
      </patternFill>
    </fill>
    <fill>
      <patternFill patternType="solid">
        <fgColor rgb="FFFFFF99"/>
        <bgColor indexed="64"/>
      </patternFill>
    </fill>
    <fill>
      <patternFill patternType="solid">
        <fgColor rgb="FFD7EAD3"/>
        <bgColor indexed="64"/>
      </patternFill>
    </fill>
    <fill>
      <patternFill patternType="solid">
        <fgColor rgb="FFFFFFFF"/>
        <bgColor indexed="64"/>
      </patternFill>
    </fill>
    <fill>
      <patternFill patternType="solid">
        <fgColor rgb="FFFFFFC0"/>
        <bgColor indexed="64"/>
      </patternFill>
    </fill>
    <fill>
      <patternFill patternType="lightDown">
        <fgColor rgb="FFC0C0C0"/>
      </patternFill>
    </fill>
    <fill>
      <patternFill patternType="solid">
        <fgColor rgb="FFFFB7B7"/>
        <bgColor indexed="64"/>
      </patternFill>
    </fill>
    <fill>
      <patternFill patternType="solid">
        <fgColor rgb="FFE3FAFD"/>
        <bgColor indexed="64"/>
      </patternFill>
    </fill>
    <fill>
      <patternFill patternType="solid">
        <fgColor rgb="FFB7E4FF"/>
        <bgColor indexed="64"/>
      </patternFill>
    </fill>
    <fill>
      <patternFill patternType="solid">
        <fgColor rgb="FFC0C0C0"/>
        <bgColor indexed="64"/>
      </patternFill>
    </fill>
    <fill>
      <patternFill patternType="solid">
        <fgColor theme="0"/>
        <bgColor indexed="64"/>
      </patternFill>
    </fill>
    <fill>
      <patternFill patternType="solid">
        <fgColor rgb="FF8DB4E2"/>
        <bgColor indexed="64"/>
      </patternFill>
    </fill>
    <fill>
      <patternFill patternType="solid">
        <fgColor theme="2" tint="-0.0999799966812134"/>
        <bgColor indexed="64"/>
      </patternFill>
    </fill>
    <fill>
      <patternFill patternType="solid">
        <fgColor theme="9" tint="-0.249980002641678"/>
        <bgColor indexed="64"/>
      </patternFill>
    </fill>
    <fill>
      <patternFill patternType="solid">
        <fgColor theme="0" tint="-0.149979993700981"/>
        <bgColor indexed="64"/>
      </patternFill>
    </fill>
    <fill>
      <patternFill patternType="solid">
        <fgColor rgb="FF0066CC"/>
        <bgColor indexed="64"/>
      </patternFill>
    </fill>
    <fill>
      <patternFill patternType="solid">
        <fgColor rgb="FFFFFF00"/>
        <bgColor indexed="64"/>
      </patternFill>
    </fill>
    <fill>
      <patternFill patternType="solid">
        <fgColor rgb="FFFF9900"/>
        <bgColor indexed="64"/>
      </patternFill>
    </fill>
    <fill>
      <patternFill patternType="solid">
        <fgColor rgb="FF808000"/>
        <bgColor indexed="64"/>
      </patternFill>
    </fill>
    <fill>
      <patternFill patternType="solid">
        <fgColor rgb="FFCC99FF"/>
        <bgColor indexed="64"/>
      </patternFill>
    </fill>
    <fill>
      <patternFill patternType="lightDown">
        <fgColor rgb="FFB7E4FF"/>
        <bgColor rgb="FFFFFFFF"/>
      </patternFill>
    </fill>
    <fill>
      <patternFill patternType="solid">
        <fgColor rgb="FFD3DBDB"/>
        <bgColor indexed="64"/>
      </patternFill>
    </fill>
    <fill>
      <patternFill patternType="solid">
        <fgColor rgb="FFCCCCFF"/>
        <bgColor indexed="64"/>
      </patternFill>
    </fill>
    <fill>
      <patternFill patternType="solid">
        <fgColor rgb="FF00CCFF"/>
        <bgColor indexed="64"/>
      </patternFill>
    </fill>
    <fill>
      <patternFill patternType="solid">
        <fgColor rgb="FFBCBCBC"/>
        <bgColor indexed="64"/>
      </patternFill>
    </fill>
    <fill>
      <patternFill patternType="solid">
        <fgColor rgb="FFEAEBEE"/>
        <bgColor indexed="64"/>
      </patternFill>
    </fill>
  </fills>
  <borders count="75">
    <border>
      <left/>
      <right/>
      <top/>
      <bottom/>
      <diagonal/>
    </border>
    <border>
      <left style="thin">
        <color rgb="FF7F7F7F"/>
      </left>
      <right style="thin">
        <color rgb="FF7F7F7F"/>
      </right>
      <top style="thin">
        <color rgb="FF7F7F7F"/>
      </top>
      <bottom style="thin">
        <color rgb="FF7F7F7F"/>
      </bottom>
    </border>
    <border>
      <left style="double">
        <color rgb="FF3F3F3F"/>
      </left>
      <right style="double">
        <color rgb="FF3F3F3F"/>
      </right>
      <top style="double">
        <color rgb="FF3F3F3F"/>
      </top>
      <bottom style="double">
        <color rgb="FF3F3F3F"/>
      </bottom>
    </border>
    <border>
      <left/>
      <right/>
      <top/>
      <bottom style="thick">
        <color theme="4"/>
      </bottom>
    </border>
    <border>
      <left/>
      <right/>
      <top/>
      <bottom style="thick">
        <color theme="4" tint="0.5"/>
      </bottom>
    </border>
    <border>
      <left/>
      <right/>
      <top/>
      <bottom style="medium">
        <color theme="4" tint="0.400000005960464"/>
      </bottom>
    </border>
    <border>
      <left/>
      <right/>
      <top/>
      <bottom style="double">
        <color rgb="FFFF8001"/>
      </bottom>
    </border>
    <border>
      <left style="thin">
        <color rgb="FFB2B2B2"/>
      </left>
      <right style="thin">
        <color rgb="FFB2B2B2"/>
      </right>
      <top style="thin">
        <color rgb="FFB2B2B2"/>
      </top>
      <bottom style="thin">
        <color rgb="FFB2B2B2"/>
      </bottom>
    </border>
    <border>
      <left style="thin">
        <color rgb="FF3F3F3F"/>
      </left>
      <right style="thin">
        <color rgb="FF3F3F3F"/>
      </right>
      <top style="thin">
        <color rgb="FF3F3F3F"/>
      </top>
      <bottom style="thin">
        <color rgb="FF3F3F3F"/>
      </bottom>
    </border>
    <border>
      <left/>
      <right/>
      <top style="thin">
        <color theme="4"/>
      </top>
      <bottom style="double">
        <color theme="4"/>
      </bottom>
    </border>
    <border>
      <left style="thin">
        <color rgb="FF000000"/>
      </left>
      <right style="thin">
        <color rgb="FF000000"/>
      </right>
      <top style="thin">
        <color rgb="FF000000"/>
      </top>
      <bottom style="thin">
        <color rgb="FF000000"/>
      </bottom>
    </border>
    <border>
      <left style="thin">
        <color rgb="FFBCBCBC"/>
      </left>
      <right style="thin">
        <color rgb="FFBCBCBC"/>
      </right>
      <top style="thin">
        <color rgb="FFBCBCBC"/>
      </top>
      <bottom style="thin">
        <color rgb="FFBCBCBC"/>
      </bottom>
    </border>
    <border>
      <left style="thin">
        <color rgb="FFC0C0C0"/>
      </left>
      <right style="thin">
        <color rgb="FFC0C0C0"/>
      </right>
      <top style="thin">
        <color rgb="FFC0C0C0"/>
      </top>
      <bottom style="thin">
        <color rgb="FFC0C0C0"/>
      </bottom>
    </border>
    <border>
      <left/>
      <right style="thin">
        <color rgb="FFC0C0C0"/>
      </right>
      <top style="thin">
        <color rgb="FFC0C0C0"/>
      </top>
      <bottom style="thin">
        <color rgb="FFC0C0C0"/>
      </bottom>
    </border>
    <border>
      <left style="thin">
        <color rgb="FFC0C0C0"/>
      </left>
      <right/>
      <top style="thin">
        <color rgb="FFC0C0C0"/>
      </top>
      <bottom style="thin">
        <color rgb="FFC0C0C0"/>
      </bottom>
    </border>
    <border>
      <left/>
      <right/>
      <top style="thin">
        <color rgb="FFC0C0C0"/>
      </top>
      <bottom style="thin">
        <color rgb="FFC0C0C0"/>
      </bottom>
    </border>
    <border>
      <left style="thin">
        <color rgb="FFD3DBDB"/>
      </left>
      <right style="thin">
        <color rgb="FFD3DBDB"/>
      </right>
      <top style="thin">
        <color rgb="FFD3DBDB"/>
      </top>
      <bottom style="thin">
        <color rgb="FFD3DBDB"/>
      </bottom>
    </border>
    <border>
      <left style="thin">
        <color rgb="FFC0C0C0"/>
      </left>
      <right style="thin">
        <color rgb="FFC0C0C0"/>
      </right>
      <top style="thin">
        <color rgb="FFC0C0C0"/>
      </top>
      <bottom/>
    </border>
    <border>
      <left/>
      <right/>
      <top style="dotted">
        <color rgb="FF000000"/>
      </top>
      <bottom style="dotted">
        <color rgb="FF000000"/>
      </bottom>
    </border>
    <border>
      <left/>
      <right/>
      <top style="thin">
        <color rgb="FFC0C0C0"/>
      </top>
      <bottom/>
    </border>
    <border>
      <left/>
      <right style="thin">
        <color rgb="FFC0C0C0"/>
      </right>
      <top style="thin">
        <color rgb="FFC0C0C0"/>
      </top>
      <bottom/>
    </border>
    <border>
      <left/>
      <right/>
      <top style="thin">
        <color rgb="FFD3DBDB"/>
      </top>
      <bottom/>
    </border>
    <border>
      <left style="thin">
        <color rgb="FFC0C0C0"/>
      </left>
      <right/>
      <top/>
      <bottom/>
    </border>
    <border>
      <left style="thin">
        <color rgb="FFC0C0C0"/>
      </left>
      <right style="thin">
        <color rgb="FFC0C0C0"/>
      </right>
      <top/>
      <bottom style="thin">
        <color rgb="FFC0C0C0"/>
      </bottom>
    </border>
    <border>
      <left/>
      <right style="thin">
        <color rgb="FFC0C0C0"/>
      </right>
      <top/>
      <bottom/>
    </border>
    <border>
      <left style="thin">
        <color rgb="FFC0C0C0"/>
      </left>
      <right style="thin">
        <color rgb="FFC0C0C0"/>
      </right>
      <top style="thin">
        <color rgb="FFC0C0C0"/>
      </top>
      <bottom style="thin">
        <color rgb="FFBCBCBC"/>
      </bottom>
    </border>
    <border>
      <left style="hair">
        <color rgb="FFC0C0C0"/>
      </left>
      <right/>
      <top style="hair">
        <color rgb="FFC0C0C0"/>
      </top>
      <bottom style="hair">
        <color rgb="FFC0C0C0"/>
      </bottom>
    </border>
    <border>
      <left/>
      <right/>
      <top/>
      <bottom style="thin">
        <color rgb="FFC0C0C0"/>
      </bottom>
    </border>
    <border>
      <left style="thin">
        <color theme="0" tint="-0.249980002641678"/>
      </left>
      <right style="thin">
        <color rgb="FFC0C0C0"/>
      </right>
      <top style="thin">
        <color rgb="FFC0C0C0"/>
      </top>
      <bottom style="thin">
        <color rgb="FFC0C0C0"/>
      </bottom>
    </border>
    <border>
      <left/>
      <right style="thin">
        <color rgb="FFC0C0C0"/>
      </right>
      <top/>
      <bottom style="thin">
        <color rgb="FFC0C0C0"/>
      </bottom>
    </border>
    <border>
      <left style="thin">
        <color rgb="FFC0C0C0"/>
      </left>
      <right/>
      <top/>
      <bottom style="thin">
        <color rgb="FFC0C0C0"/>
      </bottom>
    </border>
    <border>
      <left style="thin">
        <color theme="0" tint="-0.249980002641678"/>
      </left>
      <right style="thin">
        <color theme="0" tint="-0.249980002641678"/>
      </right>
      <top style="thin">
        <color theme="0" tint="-0.249980002641678"/>
      </top>
      <bottom style="thin">
        <color theme="0" tint="-0.249980002641678"/>
      </bottom>
    </border>
    <border>
      <left style="thin">
        <color theme="0" tint="-0.249980002641678"/>
      </left>
      <right style="thin">
        <color theme="0" tint="-0.249980002641678"/>
      </right>
      <top/>
      <bottom style="thin">
        <color theme="0" tint="-0.249980002641678"/>
      </bottom>
    </border>
    <border>
      <left style="thin">
        <color theme="0" tint="-0.249980002641678"/>
      </left>
      <right/>
      <top style="thin">
        <color theme="0" tint="-0.249980002641678"/>
      </top>
      <bottom style="thin">
        <color theme="0" tint="-0.249980002641678"/>
      </bottom>
    </border>
    <border>
      <left style="thin">
        <color theme="0" tint="-0.249980002641678"/>
      </left>
      <right/>
      <top/>
      <bottom style="thin">
        <color theme="0" tint="-0.249980002641678"/>
      </bottom>
    </border>
    <border>
      <left style="thin">
        <color theme="0" tint="-0.249980002641678"/>
      </left>
      <right style="thin">
        <color theme="0" tint="-0.249980002641678"/>
      </right>
      <top style="thin">
        <color theme="0" tint="-0.249980002641678"/>
      </top>
      <bottom/>
    </border>
    <border>
      <left style="thin">
        <color rgb="FFC0C0C0"/>
      </left>
      <right style="thin">
        <color rgb="FFC0C0C0"/>
      </right>
      <top/>
      <bottom/>
    </border>
    <border>
      <left style="thin">
        <color rgb="FFC0C0C0"/>
      </left>
      <right/>
      <top style="thin">
        <color rgb="FFC0C0C0"/>
      </top>
      <bottom/>
    </border>
    <border>
      <left style="thin">
        <color rgb="FFBCBCBC"/>
      </left>
      <right/>
      <top/>
      <bottom/>
    </border>
    <border>
      <left/>
      <right/>
      <top/>
      <bottom style="thin">
        <color rgb="FFBCBCBC"/>
      </bottom>
    </border>
    <border>
      <left style="thin">
        <color theme="0" tint="-0.249980002641678"/>
      </left>
      <right style="thin">
        <color theme="0" tint="-0.249980002641678"/>
      </right>
      <top/>
      <bottom/>
    </border>
    <border>
      <left/>
      <right/>
      <top style="thin">
        <color rgb="FFBCBCBC"/>
      </top>
      <bottom style="thin">
        <color rgb="FFBCBCBC"/>
      </bottom>
    </border>
    <border>
      <left style="thin">
        <color rgb="FFC0C0C0"/>
      </left>
      <right/>
      <top style="thin">
        <color rgb="FFBCBCBC"/>
      </top>
      <bottom style="thin">
        <color rgb="FFC0C0C0"/>
      </bottom>
    </border>
    <border>
      <left/>
      <right/>
      <top style="thin">
        <color rgb="FFBCBCBC"/>
      </top>
      <bottom style="thin">
        <color rgb="FFC0C0C0"/>
      </bottom>
    </border>
    <border>
      <left/>
      <right/>
      <top style="thin">
        <color rgb="FFD3DBDB"/>
      </top>
      <bottom style="thin">
        <color rgb="FFD3DBDB"/>
      </bottom>
    </border>
    <border>
      <left style="thin">
        <color rgb="FFD3DBDB"/>
      </left>
      <right/>
      <top style="thin">
        <color rgb="FFD3DBDB"/>
      </top>
      <bottom style="thin">
        <color rgb="FFD3DBDB"/>
      </bottom>
    </border>
    <border>
      <left style="thin">
        <color theme="0" tint="-0.349979996681213"/>
      </left>
      <right style="thin">
        <color theme="0" tint="-0.349979996681213"/>
      </right>
      <top style="thin">
        <color theme="0" tint="-0.349979996681213"/>
      </top>
      <bottom style="thin">
        <color theme="0" tint="-0.349979996681213"/>
      </bottom>
    </border>
    <border>
      <left style="thin">
        <color rgb="FFBCBCBC"/>
      </left>
      <right/>
      <top style="medium">
        <color rgb="FFBCBCBC"/>
      </top>
      <bottom style="thin">
        <color rgb="FFC0C0C0"/>
      </bottom>
    </border>
    <border>
      <left style="thin">
        <color rgb="FFBCBCBC"/>
      </left>
      <right/>
      <top style="medium">
        <color rgb="FFBCBCBC"/>
      </top>
      <bottom/>
    </border>
    <border>
      <left/>
      <right/>
      <top style="medium">
        <color rgb="FFBCBCBC"/>
      </top>
      <bottom/>
    </border>
    <border>
      <left/>
      <right/>
      <top/>
      <bottom style="medium">
        <color rgb="FFC0C0C0"/>
      </bottom>
    </border>
    <border>
      <left/>
      <right/>
      <top style="thin">
        <color rgb="FFC0C0C0"/>
      </top>
      <bottom style="medium">
        <color rgb="FFC0C0C0"/>
      </bottom>
    </border>
    <border>
      <left/>
      <right style="thin">
        <color theme="0" tint="-0.249980002641678"/>
      </right>
      <top style="thin">
        <color rgb="FFC0C0C0"/>
      </top>
      <bottom style="thin">
        <color rgb="FFC0C0C0"/>
      </bottom>
    </border>
    <border>
      <left/>
      <right/>
      <top style="medium">
        <color rgb="FFBCBCBC"/>
      </top>
      <bottom style="thin">
        <color rgb="FFBCBCBC"/>
      </bottom>
    </border>
    <border>
      <left/>
      <right style="thin">
        <color rgb="FFBCBCBC"/>
      </right>
      <top style="medium">
        <color rgb="FFBCBCBC"/>
      </top>
      <bottom style="thin">
        <color rgb="FFBCBCBC"/>
      </bottom>
    </border>
    <border>
      <left/>
      <right/>
      <top style="medium">
        <color rgb="FFC0C0C0"/>
      </top>
      <bottom style="thin">
        <color rgb="FFC0C0C0"/>
      </bottom>
    </border>
    <border>
      <left style="thin">
        <color rgb="FFC0C0C0"/>
      </left>
      <right/>
      <top style="thin">
        <color rgb="FFC0C0C0"/>
      </top>
      <bottom style="medium">
        <color rgb="FFC0C0C0"/>
      </bottom>
    </border>
    <border>
      <left style="thin">
        <color theme="0" tint="-0.249980002641678"/>
      </left>
      <right style="thin">
        <color rgb="FFC0C0C0"/>
      </right>
      <top style="thin">
        <color rgb="FFC0C0C0"/>
      </top>
      <bottom/>
    </border>
    <border>
      <left style="thin">
        <color theme="0" tint="-0.249980002641678"/>
      </left>
      <right/>
      <top style="thin">
        <color rgb="FFC0C0C0"/>
      </top>
      <bottom style="thin">
        <color rgb="FFC0C0C0"/>
      </bottom>
    </border>
    <border>
      <left style="thin">
        <color theme="0" tint="-0.249980002641678"/>
      </left>
      <right/>
      <top style="thin">
        <color rgb="FFC0C0C0"/>
      </top>
      <bottom/>
    </border>
    <border>
      <left style="thin">
        <color rgb="FFBCBCBC"/>
      </left>
      <right/>
      <top style="thin">
        <color rgb="FFBCBCBC"/>
      </top>
      <bottom/>
    </border>
    <border>
      <left/>
      <right/>
      <top style="thin">
        <color rgb="FFBCBCBC"/>
      </top>
      <bottom/>
    </border>
    <border>
      <left style="thin">
        <color rgb="FFBCBCBC"/>
      </left>
      <right/>
      <top/>
      <bottom style="thin">
        <color rgb="FFBCBCBC"/>
      </bottom>
    </border>
    <border>
      <left style="thin">
        <color rgb="FF999999"/>
      </left>
      <right/>
      <top style="thin">
        <color rgb="FF999999"/>
      </top>
      <bottom style="thin">
        <color rgb="FF999999"/>
      </bottom>
    </border>
    <border>
      <left/>
      <right/>
      <top style="thin">
        <color rgb="FF999999"/>
      </top>
      <bottom style="thin">
        <color rgb="FF999999"/>
      </bottom>
    </border>
    <border>
      <left/>
      <right style="thin">
        <color rgb="FF999999"/>
      </right>
      <top style="thin">
        <color rgb="FF999999"/>
      </top>
      <bottom style="thin">
        <color rgb="FF999999"/>
      </bottom>
    </border>
    <border>
      <left/>
      <right style="thin">
        <color rgb="FFBCBCBC"/>
      </right>
      <top/>
      <bottom/>
    </border>
    <border>
      <left/>
      <right style="thin">
        <color rgb="FFBCBCBC"/>
      </right>
      <top style="thin">
        <color rgb="FFBCBCBC"/>
      </top>
      <bottom/>
    </border>
    <border>
      <left style="thin">
        <color rgb="FFC0C0C0"/>
      </left>
      <right style="thin">
        <color rgb="FFC0C0C0"/>
      </right>
      <top style="thin">
        <color rgb="FFBCBCBC"/>
      </top>
      <bottom style="thin">
        <color rgb="FFBCBCBC"/>
      </bottom>
    </border>
    <border>
      <left style="thin">
        <color rgb="FFC0C0C0"/>
      </left>
      <right/>
      <top style="thin">
        <color rgb="FFBCBCBC"/>
      </top>
      <bottom style="thin">
        <color rgb="FFBCBCBC"/>
      </bottom>
    </border>
    <border>
      <left/>
      <right style="thin">
        <color rgb="FFC0C0C0"/>
      </right>
      <top style="thin">
        <color rgb="FFBCBCBC"/>
      </top>
      <bottom style="thin">
        <color rgb="FFBCBCBC"/>
      </bottom>
    </border>
    <border>
      <left style="thin">
        <color rgb="FFBCBCBC"/>
      </left>
      <right/>
      <top style="thin">
        <color rgb="FFBCBCBC"/>
      </top>
      <bottom style="thin">
        <color rgb="FFBCBCBC"/>
      </bottom>
    </border>
    <border>
      <left/>
      <right style="thin">
        <color rgb="FFBCBCBC"/>
      </right>
      <top style="thin">
        <color rgb="FFBCBCBC"/>
      </top>
      <bottom style="thin">
        <color rgb="FFBCBCBC"/>
      </bottom>
    </border>
    <border>
      <left style="thin">
        <color rgb="FFBCBCBC"/>
      </left>
      <right/>
      <top style="thin">
        <color rgb="FFBCBCBC"/>
      </top>
      <bottom style="thin">
        <color rgb="FFC0C0C0"/>
      </bottom>
    </border>
    <border>
      <left style="thin">
        <color rgb="FFC0C0C0"/>
      </left>
      <right style="thin">
        <color rgb="FFC0C0C0"/>
      </right>
      <top style="thin">
        <color rgb="FFC0C0C0"/>
      </top>
      <bottom style="medium">
        <color rgb="FFC0C0C0"/>
      </bottom>
    </border>
  </borders>
  <cellStyleXfs count="78">
    <xf numFmtId="49" fontId="0" fillId="0" borderId="0" applyFill="0" applyBorder="0">
      <alignment vertical="top"/>
      <protection/>
    </xf>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9" fontId="7" fillId="0" borderId="0" applyFont="0" applyFill="0" applyBorder="0">
      <alignment vertical="top"/>
      <protection/>
    </xf>
    <xf numFmtId="173" fontId="7" fillId="0" borderId="0" applyFont="0" applyFill="0" applyBorder="0">
      <alignment vertical="top"/>
      <protection/>
    </xf>
    <xf numFmtId="174" fontId="7" fillId="0" borderId="0" applyFont="0" applyFill="0" applyBorder="0">
      <alignment vertical="top"/>
      <protection/>
    </xf>
    <xf numFmtId="171" fontId="7" fillId="0" borderId="0" applyFont="0" applyFill="0" applyBorder="0">
      <alignment vertical="top"/>
      <protection/>
    </xf>
    <xf numFmtId="172" fontId="7" fillId="0" borderId="0" applyFont="0" applyFill="0" applyBorder="0">
      <alignment vertical="top"/>
      <protection/>
    </xf>
    <xf numFmtId="0" fontId="2" fillId="2" borderId="0" applyBorder="0">
      <alignment vertical="top"/>
      <protection/>
    </xf>
    <xf numFmtId="0" fontId="2" fillId="3" borderId="0" applyBorder="0">
      <alignment vertical="top"/>
      <protection/>
    </xf>
    <xf numFmtId="0" fontId="2" fillId="4" borderId="0" applyBorder="0">
      <alignment vertical="top"/>
      <protection/>
    </xf>
    <xf numFmtId="0" fontId="2" fillId="5" borderId="0" applyBorder="0">
      <alignment vertical="top"/>
      <protection/>
    </xf>
    <xf numFmtId="0" fontId="2" fillId="6" borderId="0" applyBorder="0">
      <alignment vertical="top"/>
      <protection/>
    </xf>
    <xf numFmtId="0" fontId="2" fillId="7" borderId="0" applyBorder="0">
      <alignment vertical="top"/>
      <protection/>
    </xf>
    <xf numFmtId="0" fontId="2" fillId="8" borderId="0" applyBorder="0">
      <alignment vertical="top"/>
      <protection/>
    </xf>
    <xf numFmtId="0" fontId="2" fillId="9" borderId="0" applyBorder="0">
      <alignment vertical="top"/>
      <protection/>
    </xf>
    <xf numFmtId="0" fontId="2" fillId="10" borderId="0" applyBorder="0">
      <alignment vertical="top"/>
      <protection/>
    </xf>
    <xf numFmtId="0" fontId="2" fillId="11" borderId="0" applyBorder="0">
      <alignment vertical="top"/>
      <protection/>
    </xf>
    <xf numFmtId="0" fontId="2" fillId="12" borderId="0" applyBorder="0">
      <alignment vertical="top"/>
      <protection/>
    </xf>
    <xf numFmtId="0" fontId="2" fillId="13" borderId="0" applyBorder="0">
      <alignment vertical="top"/>
      <protection/>
    </xf>
    <xf numFmtId="0" fontId="2" fillId="14" borderId="0" applyBorder="0">
      <alignment vertical="top"/>
      <protection/>
    </xf>
    <xf numFmtId="0" fontId="2" fillId="15" borderId="0" applyBorder="0">
      <alignment vertical="top"/>
      <protection/>
    </xf>
    <xf numFmtId="0" fontId="2" fillId="16" borderId="0" applyBorder="0">
      <alignment vertical="top"/>
      <protection/>
    </xf>
    <xf numFmtId="0" fontId="2" fillId="17" borderId="0" applyBorder="0">
      <alignment vertical="top"/>
      <protection/>
    </xf>
    <xf numFmtId="0" fontId="2" fillId="18" borderId="0" applyBorder="0">
      <alignment vertical="top"/>
      <protection/>
    </xf>
    <xf numFmtId="0" fontId="2" fillId="19" borderId="0" applyBorder="0">
      <alignment vertical="top"/>
      <protection/>
    </xf>
    <xf numFmtId="0" fontId="3" fillId="20" borderId="0" applyBorder="0">
      <alignment vertical="top"/>
      <protection/>
    </xf>
    <xf numFmtId="0" fontId="3" fillId="21" borderId="0" applyBorder="0">
      <alignment vertical="top"/>
      <protection/>
    </xf>
    <xf numFmtId="0" fontId="3" fillId="22" borderId="0" applyBorder="0">
      <alignment vertical="top"/>
      <protection/>
    </xf>
    <xf numFmtId="0" fontId="3" fillId="23" borderId="0" applyBorder="0">
      <alignment vertical="top"/>
      <protection/>
    </xf>
    <xf numFmtId="0" fontId="3" fillId="24" borderId="0" applyBorder="0">
      <alignment vertical="top"/>
      <protection/>
    </xf>
    <xf numFmtId="0" fontId="3" fillId="25" borderId="0" applyBorder="0">
      <alignment vertical="top"/>
      <protection/>
    </xf>
    <xf numFmtId="0" fontId="4" fillId="26" borderId="0" applyBorder="0">
      <alignment vertical="top"/>
      <protection/>
    </xf>
    <xf numFmtId="0" fontId="5" fillId="27" borderId="1">
      <alignment vertical="top"/>
      <protection/>
    </xf>
    <xf numFmtId="0" fontId="6" fillId="28" borderId="2">
      <alignment vertical="top"/>
      <protection/>
    </xf>
    <xf numFmtId="0" fontId="8" fillId="0" borderId="0" applyFill="0" applyBorder="0">
      <alignment vertical="top"/>
      <protection/>
    </xf>
    <xf numFmtId="0" fontId="9" fillId="29" borderId="0" applyBorder="0">
      <alignment vertical="top"/>
      <protection/>
    </xf>
    <xf numFmtId="0" fontId="10" fillId="0" borderId="3" applyFill="0">
      <alignment vertical="top"/>
      <protection/>
    </xf>
    <xf numFmtId="0" fontId="11" fillId="0" borderId="4" applyFill="0">
      <alignment vertical="top"/>
      <protection/>
    </xf>
    <xf numFmtId="0" fontId="12" fillId="0" borderId="5" applyFill="0">
      <alignment vertical="top"/>
      <protection/>
    </xf>
    <xf numFmtId="0" fontId="12" fillId="0" borderId="0" applyFill="0" applyBorder="0">
      <alignment vertical="top"/>
      <protection/>
    </xf>
    <xf numFmtId="0" fontId="13" fillId="30" borderId="1">
      <alignment vertical="top"/>
      <protection/>
    </xf>
    <xf numFmtId="0" fontId="14" fillId="0" borderId="6" applyFill="0">
      <alignment vertical="top"/>
      <protection/>
    </xf>
    <xf numFmtId="0" fontId="15" fillId="31" borderId="0" applyBorder="0">
      <alignment vertical="top"/>
      <protection/>
    </xf>
    <xf numFmtId="0" fontId="16" fillId="0" borderId="0" applyFill="0" applyBorder="0">
      <alignment vertical="top"/>
      <protection/>
    </xf>
    <xf numFmtId="0" fontId="7" fillId="32" borderId="7" applyFont="0">
      <alignment vertical="top"/>
      <protection/>
    </xf>
    <xf numFmtId="0" fontId="17" fillId="27" borderId="8">
      <alignment vertical="top"/>
      <protection/>
    </xf>
    <xf numFmtId="0" fontId="18" fillId="0" borderId="0" applyFill="0" applyBorder="0">
      <alignment vertical="top"/>
      <protection/>
    </xf>
    <xf numFmtId="0" fontId="19" fillId="0" borderId="9" applyFill="0">
      <alignment vertical="top"/>
      <protection/>
    </xf>
    <xf numFmtId="0" fontId="20" fillId="0" borderId="0" applyFill="0" applyBorder="0">
      <alignment vertical="top"/>
      <protection/>
    </xf>
    <xf numFmtId="0" fontId="21" fillId="0" borderId="0" applyFill="0" applyBorder="0">
      <alignment/>
      <protection/>
    </xf>
    <xf numFmtId="175" fontId="21" fillId="0" borderId="0" applyFill="0" applyBorder="0">
      <alignment/>
      <protection/>
    </xf>
    <xf numFmtId="38" fontId="22" fillId="0" borderId="0" applyFill="0" applyBorder="0">
      <alignment vertical="top"/>
      <protection/>
    </xf>
    <xf numFmtId="176" fontId="23" fillId="33" borderId="0" applyBorder="0">
      <alignment/>
      <protection locked="0"/>
    </xf>
    <xf numFmtId="0" fontId="24" fillId="0" borderId="0" applyFill="0" applyBorder="0">
      <alignment vertical="center"/>
      <protection/>
    </xf>
    <xf numFmtId="177" fontId="23" fillId="33" borderId="0" applyBorder="0">
      <alignment/>
      <protection locked="0"/>
    </xf>
    <xf numFmtId="178" fontId="23" fillId="33" borderId="0" applyBorder="0">
      <alignment/>
      <protection locked="0"/>
    </xf>
    <xf numFmtId="0" fontId="25" fillId="0" borderId="0" applyFill="0" applyBorder="0">
      <alignment vertical="top"/>
      <protection/>
    </xf>
    <xf numFmtId="0" fontId="26" fillId="0" borderId="0" applyFill="0" applyBorder="0">
      <alignment vertical="top"/>
      <protection/>
    </xf>
    <xf numFmtId="0" fontId="27" fillId="0" borderId="0" applyFill="0" applyBorder="0">
      <alignment/>
      <protection/>
    </xf>
    <xf numFmtId="0" fontId="28" fillId="0" borderId="0" applyFill="0" applyBorder="0">
      <alignment vertical="top"/>
      <protection/>
    </xf>
    <xf numFmtId="49" fontId="23" fillId="0" borderId="0" applyFill="0" applyBorder="0">
      <alignment vertical="top"/>
      <protection/>
    </xf>
    <xf numFmtId="0" fontId="29" fillId="0" borderId="0" applyFill="0" applyBorder="0">
      <alignment/>
      <protection/>
    </xf>
    <xf numFmtId="49" fontId="0" fillId="0" borderId="0" applyFill="0" applyBorder="0">
      <alignment vertical="top"/>
      <protection/>
    </xf>
    <xf numFmtId="0" fontId="30" fillId="0" borderId="0" applyFill="0" applyBorder="0">
      <alignment/>
      <protection/>
    </xf>
    <xf numFmtId="0" fontId="31" fillId="0" borderId="0" applyFill="0" applyBorder="0">
      <alignment vertical="top"/>
      <protection/>
    </xf>
  </cellStyleXfs>
  <cellXfs count="2641">
    <xf numFmtId="49" fontId="0" fillId="0" borderId="0" xfId="0" applyNumberFormat="1" applyFont="1" applyAlignment="1">
      <alignment vertical="top"/>
    </xf>
    <xf numFmtId="0" fontId="2" fillId="2" borderId="0" xfId="20" applyFont="1" applyFill="1" applyAlignment="1">
      <alignment vertical="top"/>
      <protection/>
    </xf>
    <xf numFmtId="0" fontId="2" fillId="3" borderId="0" xfId="21" applyFont="1" applyFill="1" applyAlignment="1">
      <alignment vertical="top"/>
      <protection/>
    </xf>
    <xf numFmtId="0" fontId="2" fillId="4" borderId="0" xfId="22" applyFont="1" applyFill="1" applyAlignment="1">
      <alignment vertical="top"/>
      <protection/>
    </xf>
    <xf numFmtId="0" fontId="2" fillId="5" borderId="0" xfId="23" applyFont="1" applyFill="1" applyAlignment="1">
      <alignment vertical="top"/>
      <protection/>
    </xf>
    <xf numFmtId="0" fontId="2" fillId="6" borderId="0" xfId="24" applyFont="1" applyFill="1" applyAlignment="1">
      <alignment vertical="top"/>
      <protection/>
    </xf>
    <xf numFmtId="0" fontId="2" fillId="7" borderId="0" xfId="25" applyFont="1" applyFill="1" applyAlignment="1">
      <alignment vertical="top"/>
      <protection/>
    </xf>
    <xf numFmtId="0" fontId="2" fillId="8" borderId="0" xfId="26" applyFont="1" applyFill="1" applyAlignment="1">
      <alignment vertical="top"/>
      <protection/>
    </xf>
    <xf numFmtId="0" fontId="2" fillId="9" borderId="0" xfId="27" applyFont="1" applyFill="1" applyAlignment="1">
      <alignment vertical="top"/>
      <protection/>
    </xf>
    <xf numFmtId="0" fontId="2" fillId="10" borderId="0" xfId="28" applyFont="1" applyFill="1" applyAlignment="1">
      <alignment vertical="top"/>
      <protection/>
    </xf>
    <xf numFmtId="0" fontId="2" fillId="11" borderId="0" xfId="29" applyFont="1" applyFill="1" applyAlignment="1">
      <alignment vertical="top"/>
      <protection/>
    </xf>
    <xf numFmtId="0" fontId="2" fillId="12" borderId="0" xfId="30" applyFont="1" applyFill="1" applyAlignment="1">
      <alignment vertical="top"/>
      <protection/>
    </xf>
    <xf numFmtId="0" fontId="2" fillId="13" borderId="0" xfId="31" applyFont="1" applyFill="1" applyAlignment="1">
      <alignment vertical="top"/>
      <protection/>
    </xf>
    <xf numFmtId="0" fontId="2" fillId="14" borderId="0" xfId="32" applyFont="1" applyFill="1" applyAlignment="1">
      <alignment vertical="top"/>
      <protection/>
    </xf>
    <xf numFmtId="0" fontId="2" fillId="15" borderId="0" xfId="33" applyFont="1" applyFill="1" applyAlignment="1">
      <alignment vertical="top"/>
      <protection/>
    </xf>
    <xf numFmtId="0" fontId="2" fillId="16" borderId="0" xfId="34" applyFont="1" applyFill="1" applyAlignment="1">
      <alignment vertical="top"/>
      <protection/>
    </xf>
    <xf numFmtId="0" fontId="2" fillId="17" borderId="0" xfId="35" applyFont="1" applyFill="1" applyAlignment="1">
      <alignment vertical="top"/>
      <protection/>
    </xf>
    <xf numFmtId="0" fontId="2" fillId="18" borderId="0" xfId="36" applyFont="1" applyFill="1" applyAlignment="1">
      <alignment vertical="top"/>
      <protection/>
    </xf>
    <xf numFmtId="0" fontId="2" fillId="19" borderId="0" xfId="37" applyFont="1" applyFill="1" applyAlignment="1">
      <alignment vertical="top"/>
      <protection/>
    </xf>
    <xf numFmtId="0" fontId="3" fillId="20" borderId="0" xfId="38" applyFont="1" applyFill="1" applyAlignment="1">
      <alignment vertical="top"/>
      <protection/>
    </xf>
    <xf numFmtId="0" fontId="3" fillId="21" borderId="0" xfId="39" applyFont="1" applyFill="1" applyAlignment="1">
      <alignment vertical="top"/>
      <protection/>
    </xf>
    <xf numFmtId="0" fontId="3" fillId="22" borderId="0" xfId="40" applyFont="1" applyFill="1" applyAlignment="1">
      <alignment vertical="top"/>
      <protection/>
    </xf>
    <xf numFmtId="0" fontId="3" fillId="23" borderId="0" xfId="41" applyFont="1" applyFill="1" applyAlignment="1">
      <alignment vertical="top"/>
      <protection/>
    </xf>
    <xf numFmtId="0" fontId="3" fillId="24" borderId="0" xfId="42" applyFont="1" applyFill="1" applyAlignment="1">
      <alignment vertical="top"/>
      <protection/>
    </xf>
    <xf numFmtId="0" fontId="3" fillId="25" borderId="0" xfId="43" applyFont="1" applyFill="1" applyAlignment="1">
      <alignment vertical="top"/>
      <protection/>
    </xf>
    <xf numFmtId="0" fontId="4" fillId="26" borderId="0" xfId="44" applyFont="1" applyFill="1" applyAlignment="1">
      <alignment vertical="top"/>
      <protection/>
    </xf>
    <xf numFmtId="0" fontId="5" fillId="27" borderId="1" xfId="45" applyFont="1" applyFill="1" applyBorder="1" applyAlignment="1">
      <alignment vertical="top"/>
      <protection/>
    </xf>
    <xf numFmtId="0" fontId="6" fillId="28" borderId="2" xfId="46" applyFont="1" applyFill="1" applyBorder="1" applyAlignment="1">
      <alignment vertical="top"/>
      <protection/>
    </xf>
    <xf numFmtId="171" fontId="7" fillId="0" borderId="0" xfId="18" applyNumberFormat="1" applyAlignment="1">
      <alignment vertical="top"/>
      <protection/>
    </xf>
    <xf numFmtId="172" fontId="7" fillId="0" borderId="0" xfId="19" applyNumberFormat="1" applyAlignment="1">
      <alignment vertical="top"/>
      <protection/>
    </xf>
    <xf numFmtId="173" fontId="7" fillId="0" borderId="0" xfId="16" applyNumberFormat="1" applyAlignment="1">
      <alignment vertical="top"/>
      <protection/>
    </xf>
    <xf numFmtId="174" fontId="7" fillId="0" borderId="0" xfId="17" applyNumberFormat="1" applyAlignment="1">
      <alignment vertical="top"/>
      <protection/>
    </xf>
    <xf numFmtId="0" fontId="8" fillId="0" borderId="0" xfId="47" applyFont="1" applyAlignment="1">
      <alignment vertical="top"/>
      <protection/>
    </xf>
    <xf numFmtId="0" fontId="9" fillId="29" borderId="0" xfId="48" applyFont="1" applyFill="1" applyAlignment="1">
      <alignment vertical="top"/>
      <protection/>
    </xf>
    <xf numFmtId="0" fontId="10" fillId="0" borderId="3" xfId="49" applyFont="1" applyBorder="1" applyAlignment="1">
      <alignment vertical="top"/>
      <protection/>
    </xf>
    <xf numFmtId="0" fontId="11" fillId="0" borderId="4" xfId="50" applyFont="1" applyBorder="1" applyAlignment="1">
      <alignment vertical="top"/>
      <protection/>
    </xf>
    <xf numFmtId="0" fontId="12" fillId="0" borderId="5" xfId="51" applyFont="1" applyBorder="1" applyAlignment="1">
      <alignment vertical="top"/>
      <protection/>
    </xf>
    <xf numFmtId="0" fontId="12" fillId="0" borderId="0" xfId="52" applyFont="1" applyAlignment="1">
      <alignment vertical="top"/>
      <protection/>
    </xf>
    <xf numFmtId="0" fontId="13" fillId="30" borderId="1" xfId="53" applyFont="1" applyFill="1" applyBorder="1" applyAlignment="1">
      <alignment vertical="top"/>
      <protection/>
    </xf>
    <xf numFmtId="0" fontId="14" fillId="0" borderId="6" xfId="54" applyFont="1" applyBorder="1" applyAlignment="1">
      <alignment vertical="top"/>
      <protection/>
    </xf>
    <xf numFmtId="0" fontId="15" fillId="31" borderId="0" xfId="55" applyFont="1" applyFill="1" applyAlignment="1">
      <alignment vertical="top"/>
      <protection/>
    </xf>
    <xf numFmtId="0" fontId="16" fillId="0" borderId="0" xfId="56" applyFont="1" applyAlignment="1">
      <alignment vertical="top"/>
      <protection/>
    </xf>
    <xf numFmtId="0" fontId="7" fillId="32" borderId="7" xfId="57" applyFill="1" applyBorder="1" applyAlignment="1">
      <alignment vertical="top"/>
      <protection/>
    </xf>
    <xf numFmtId="0" fontId="17" fillId="27" borderId="8" xfId="58" applyFont="1" applyFill="1" applyBorder="1" applyAlignment="1">
      <alignment vertical="top"/>
      <protection/>
    </xf>
    <xf numFmtId="9" fontId="7" fillId="0" borderId="0" xfId="15" applyNumberFormat="1" applyAlignment="1">
      <alignment vertical="top"/>
      <protection/>
    </xf>
    <xf numFmtId="0" fontId="18" fillId="0" borderId="0" xfId="59" applyFont="1" applyAlignment="1">
      <alignment vertical="top"/>
      <protection/>
    </xf>
    <xf numFmtId="0" fontId="19" fillId="0" borderId="9" xfId="60" applyFont="1" applyBorder="1" applyAlignment="1">
      <alignment vertical="top"/>
      <protection/>
    </xf>
    <xf numFmtId="0" fontId="20" fillId="0" borderId="0" xfId="61" applyFont="1" applyAlignment="1">
      <alignment vertical="top"/>
      <protection/>
    </xf>
    <xf numFmtId="0" fontId="21" fillId="0" borderId="0" xfId="62" applyFont="1">
      <alignment/>
      <protection/>
    </xf>
    <xf numFmtId="175" fontId="21" fillId="0" borderId="0" xfId="63" applyNumberFormat="1" applyFont="1">
      <alignment/>
      <protection/>
    </xf>
    <xf numFmtId="38" fontId="22" fillId="0" borderId="0" xfId="64" applyNumberFormat="1" applyFont="1" applyAlignment="1">
      <alignment vertical="top"/>
      <protection/>
    </xf>
    <xf numFmtId="176" fontId="23" fillId="33" borderId="0" xfId="65" applyNumberFormat="1" applyFont="1" applyFill="1" applyProtection="1">
      <alignment/>
      <protection locked="0"/>
    </xf>
    <xf numFmtId="0" fontId="24" fillId="0" borderId="0" xfId="66" applyFont="1" applyAlignment="1">
      <alignment vertical="center"/>
      <protection/>
    </xf>
    <xf numFmtId="177" fontId="23" fillId="33" borderId="0" xfId="67" applyNumberFormat="1" applyFont="1" applyFill="1" applyProtection="1">
      <alignment/>
      <protection locked="0"/>
    </xf>
    <xf numFmtId="178" fontId="23" fillId="33" borderId="0" xfId="68" applyNumberFormat="1" applyFont="1" applyFill="1" applyProtection="1">
      <alignment/>
      <protection locked="0"/>
    </xf>
    <xf numFmtId="0" fontId="25" fillId="0" borderId="0" xfId="69" applyFont="1" applyAlignment="1">
      <alignment vertical="top"/>
      <protection/>
    </xf>
    <xf numFmtId="0" fontId="26" fillId="0" borderId="0" xfId="70" applyFont="1" applyAlignment="1">
      <alignment vertical="top"/>
      <protection/>
    </xf>
    <xf numFmtId="0" fontId="27" fillId="0" borderId="0" xfId="71" applyFont="1">
      <alignment/>
      <protection/>
    </xf>
    <xf numFmtId="0" fontId="28" fillId="0" borderId="0" xfId="72" applyFont="1" applyAlignment="1">
      <alignment vertical="top"/>
      <protection/>
    </xf>
    <xf numFmtId="49" fontId="23" fillId="0" borderId="0" xfId="73" applyNumberFormat="1" applyFont="1" applyAlignment="1">
      <alignment vertical="top"/>
      <protection/>
    </xf>
    <xf numFmtId="0" fontId="29" fillId="0" borderId="0" xfId="74" applyFont="1">
      <alignment/>
      <protection/>
    </xf>
    <xf numFmtId="49" fontId="0" fillId="0" borderId="0" xfId="75" applyNumberFormat="1" applyFont="1" applyAlignment="1">
      <alignment vertical="top"/>
      <protection/>
    </xf>
    <xf numFmtId="0" fontId="30" fillId="0" borderId="0" xfId="76" applyFont="1">
      <alignment/>
      <protection/>
    </xf>
    <xf numFmtId="0" fontId="31" fillId="0" borderId="0" xfId="77" applyFont="1" applyAlignment="1">
      <alignment vertical="top"/>
      <protection/>
    </xf>
    <xf numFmtId="49" fontId="0" fillId="0" borderId="0" xfId="75" applyNumberFormat="1" applyFont="1" applyAlignment="1">
      <alignment vertical="top"/>
      <protection/>
    </xf>
    <xf numFmtId="49" fontId="0" fillId="0" borderId="0" xfId="75" applyNumberFormat="1" applyFont="1" applyAlignment="1">
      <alignment vertical="top"/>
      <protection/>
    </xf>
    <xf numFmtId="49" fontId="0" fillId="0" borderId="0" xfId="75" applyNumberFormat="1" applyFont="1" applyAlignment="1">
      <alignment vertical="top"/>
      <protection/>
    </xf>
    <xf numFmtId="49" fontId="0" fillId="0" borderId="0" xfId="75" applyNumberFormat="1" applyFont="1" applyAlignment="1">
      <alignment vertical="top"/>
      <protection/>
    </xf>
    <xf numFmtId="0" fontId="23" fillId="0" borderId="0" xfId="0" applyFont="1" applyAlignment="1">
      <alignment vertical="top" wrapText="1"/>
    </xf>
    <xf numFmtId="49" fontId="0" fillId="0" borderId="0" xfId="0" applyNumberFormat="1" applyFont="1" applyAlignment="1">
      <alignment vertical="top"/>
    </xf>
    <xf numFmtId="49" fontId="23" fillId="34" borderId="10" xfId="0" applyNumberFormat="1" applyFont="1" applyFill="1" applyBorder="1" applyAlignment="1">
      <alignment horizontal="center" vertical="top"/>
    </xf>
    <xf numFmtId="49" fontId="0" fillId="0" borderId="0" xfId="0" applyNumberFormat="1" applyFont="1" applyAlignment="1">
      <alignment vertical="top"/>
    </xf>
    <xf numFmtId="0" fontId="23" fillId="0" borderId="0" xfId="0" applyFont="1"/>
    <xf numFmtId="0" fontId="23" fillId="35" borderId="0" xfId="0" applyFont="1" applyFill="1"/>
    <xf numFmtId="0" fontId="32" fillId="0" borderId="0" xfId="0" applyFont="1" applyAlignment="1">
      <alignment vertical="center" wrapText="1"/>
    </xf>
    <xf numFmtId="0" fontId="33" fillId="0" borderId="0" xfId="0" applyFont="1" applyAlignment="1">
      <alignment vertical="center" wrapText="1"/>
    </xf>
    <xf numFmtId="0" fontId="23" fillId="35" borderId="0" xfId="0" applyFont="1" applyFill="1" applyAlignment="1">
      <alignment vertical="center" wrapText="1"/>
    </xf>
    <xf numFmtId="0" fontId="23" fillId="0" borderId="0" xfId="0" applyFont="1" applyAlignment="1">
      <alignment vertical="center" wrapText="1"/>
    </xf>
    <xf numFmtId="0" fontId="34" fillId="35" borderId="0" xfId="0" applyFont="1" applyFill="1" applyAlignment="1">
      <alignment vertical="center" wrapText="1"/>
    </xf>
    <xf numFmtId="0" fontId="23" fillId="35" borderId="0" xfId="0" applyFont="1" applyFill="1" applyAlignment="1">
      <alignment horizontal="right" vertical="center" wrapText="1" indent="1"/>
    </xf>
    <xf numFmtId="0" fontId="23" fillId="35" borderId="0" xfId="0" applyFont="1" applyFill="1" applyAlignment="1">
      <alignment horizontal="center" vertical="center" wrapText="1"/>
    </xf>
    <xf numFmtId="0" fontId="33" fillId="0" borderId="0" xfId="0" applyFont="1" applyAlignment="1">
      <alignment horizontal="center" vertical="center" wrapText="1"/>
    </xf>
    <xf numFmtId="0" fontId="35" fillId="35" borderId="0" xfId="0" applyFont="1" applyFill="1" applyAlignment="1">
      <alignment horizontal="center" vertical="center" wrapText="1"/>
    </xf>
    <xf numFmtId="0" fontId="23" fillId="0" borderId="0" xfId="0" applyFont="1" applyAlignment="1">
      <alignment vertical="center"/>
    </xf>
    <xf numFmtId="49" fontId="23" fillId="35" borderId="0" xfId="0" applyNumberFormat="1" applyFont="1" applyFill="1" applyAlignment="1">
      <alignment horizontal="right" vertical="center" wrapText="1" indent="1"/>
    </xf>
    <xf numFmtId="49" fontId="34" fillId="35" borderId="0" xfId="0" applyNumberFormat="1" applyFont="1" applyFill="1" applyAlignment="1">
      <alignment horizontal="center" vertical="center" wrapText="1"/>
    </xf>
    <xf numFmtId="0" fontId="23" fillId="0" borderId="0" xfId="0" applyFont="1" applyAlignment="1">
      <alignment vertical="center" wrapText="1"/>
    </xf>
    <xf numFmtId="0" fontId="23" fillId="35" borderId="0" xfId="0" applyFont="1" applyFill="1" applyAlignment="1">
      <alignment vertical="center" wrapText="1"/>
    </xf>
    <xf numFmtId="0" fontId="23" fillId="35" borderId="0" xfId="0" applyFont="1" applyFill="1" applyAlignment="1">
      <alignment horizontal="right" vertical="center" wrapText="1"/>
    </xf>
    <xf numFmtId="49" fontId="0" fillId="35" borderId="0" xfId="0" applyNumberFormat="1" applyFont="1" applyFill="1" applyAlignment="1">
      <alignment horizontal="right" vertical="center" wrapText="1" indent="1"/>
    </xf>
    <xf numFmtId="49" fontId="36" fillId="35" borderId="0" xfId="0" applyNumberFormat="1" applyFont="1" applyFill="1" applyAlignment="1">
      <alignment horizontal="center" vertical="center" wrapText="1"/>
    </xf>
    <xf numFmtId="49" fontId="0" fillId="0" borderId="0" xfId="0" applyNumberFormat="1" applyFont="1" applyAlignment="1">
      <alignment vertical="top"/>
    </xf>
    <xf numFmtId="49" fontId="0" fillId="0" borderId="0" xfId="0" applyNumberFormat="1" applyFont="1" applyAlignment="1">
      <alignment vertical="top"/>
    </xf>
    <xf numFmtId="0" fontId="37" fillId="35" borderId="0" xfId="0" applyFont="1" applyFill="1" applyAlignment="1">
      <alignment horizontal="center" vertical="center" wrapText="1"/>
    </xf>
    <xf numFmtId="0" fontId="37" fillId="0" borderId="0" xfId="0" applyFont="1" applyAlignment="1">
      <alignment horizontal="center" vertical="center"/>
    </xf>
    <xf numFmtId="0" fontId="37" fillId="35" borderId="0" xfId="0" applyFont="1" applyFill="1" applyAlignment="1">
      <alignment horizontal="center" vertical="center"/>
    </xf>
    <xf numFmtId="49" fontId="38" fillId="0" borderId="11" xfId="0" applyNumberFormat="1" applyFont="1" applyBorder="1" applyAlignment="1">
      <alignment vertical="top" wrapText="1"/>
    </xf>
    <xf numFmtId="0" fontId="0" fillId="0" borderId="11" xfId="0" applyFont="1" applyBorder="1" applyAlignment="1">
      <alignment vertical="top" wrapText="1"/>
    </xf>
    <xf numFmtId="0" fontId="23" fillId="35" borderId="0" xfId="0" applyFont="1" applyFill="1" applyAlignment="1">
      <alignment horizontal="center" vertical="center" wrapText="1"/>
    </xf>
    <xf numFmtId="0" fontId="39" fillId="35" borderId="0" xfId="0" applyFont="1" applyFill="1" applyAlignment="1">
      <alignment vertical="center" wrapText="1"/>
    </xf>
    <xf numFmtId="0" fontId="39" fillId="0" borderId="0" xfId="0" applyFont="1" applyAlignment="1">
      <alignment vertical="center" wrapText="1"/>
    </xf>
    <xf numFmtId="0" fontId="32" fillId="0" borderId="0" xfId="0" applyFont="1" applyAlignment="1">
      <alignment horizontal="left" vertical="center" wrapText="1"/>
    </xf>
    <xf numFmtId="49" fontId="32" fillId="0" borderId="0" xfId="0" applyNumberFormat="1" applyFont="1" applyAlignment="1">
      <alignment horizontal="left" vertical="center" wrapText="1"/>
    </xf>
    <xf numFmtId="0" fontId="0" fillId="0" borderId="0" xfId="0" applyFont="1" applyAlignment="1">
      <alignment vertical="top"/>
    </xf>
    <xf numFmtId="49" fontId="23" fillId="0" borderId="0" xfId="0" applyNumberFormat="1" applyFont="1" applyAlignment="1">
      <alignment vertical="center" wrapText="1"/>
    </xf>
    <xf numFmtId="49" fontId="23" fillId="0" borderId="0" xfId="0" applyNumberFormat="1" applyFont="1" applyAlignment="1">
      <alignment vertical="top"/>
    </xf>
    <xf numFmtId="0" fontId="23" fillId="0" borderId="0" xfId="0" applyFont="1" applyAlignment="1">
      <alignment vertical="center" wrapText="1"/>
    </xf>
    <xf numFmtId="0" fontId="0" fillId="0" borderId="0" xfId="0" applyFont="1" applyAlignment="1">
      <alignment vertical="center"/>
    </xf>
    <xf numFmtId="0" fontId="23" fillId="35" borderId="12" xfId="0" applyFont="1" applyFill="1" applyBorder="1" applyAlignment="1">
      <alignment horizontal="center" vertical="center" wrapText="1"/>
    </xf>
    <xf numFmtId="49" fontId="23" fillId="36" borderId="12" xfId="0" applyNumberFormat="1" applyFont="1" applyFill="1" applyBorder="1" applyAlignment="1" applyProtection="1">
      <alignment horizontal="left" vertical="center" wrapText="1"/>
      <protection locked="0"/>
    </xf>
    <xf numFmtId="49" fontId="40" fillId="37" borderId="13" xfId="0" applyNumberFormat="1" applyFont="1" applyFill="1" applyBorder="1" applyAlignment="1">
      <alignment horizontal="left" vertical="center"/>
    </xf>
    <xf numFmtId="0" fontId="0" fillId="0" borderId="12" xfId="0" applyFont="1" applyBorder="1" applyAlignment="1">
      <alignment horizontal="center" vertical="center" wrapText="1"/>
    </xf>
    <xf numFmtId="0" fontId="23" fillId="37" borderId="14" xfId="0" applyFont="1" applyFill="1" applyBorder="1" applyAlignment="1">
      <alignment vertical="center" wrapText="1"/>
    </xf>
    <xf numFmtId="0" fontId="23" fillId="0" borderId="12" xfId="0" applyFont="1" applyBorder="1" applyAlignment="1">
      <alignment horizontal="center" vertical="center" wrapText="1"/>
    </xf>
    <xf numFmtId="0" fontId="41" fillId="0" borderId="0" xfId="0" applyFont="1" applyAlignment="1">
      <alignment vertical="center"/>
    </xf>
    <xf numFmtId="49" fontId="23" fillId="0" borderId="12" xfId="0" applyNumberFormat="1" applyFont="1" applyBorder="1" applyAlignment="1">
      <alignment horizontal="center" vertical="center" wrapText="1"/>
    </xf>
    <xf numFmtId="0" fontId="23" fillId="35" borderId="12" xfId="0" applyFont="1" applyFill="1" applyBorder="1" applyAlignment="1">
      <alignment horizontal="center" vertical="center"/>
    </xf>
    <xf numFmtId="49" fontId="23" fillId="36" borderId="12" xfId="0" applyNumberFormat="1" applyFont="1" applyFill="1" applyBorder="1" applyAlignment="1" applyProtection="1">
      <alignment horizontal="left" vertical="center" wrapText="1"/>
      <protection locked="0"/>
    </xf>
    <xf numFmtId="0" fontId="32" fillId="0" borderId="0" xfId="0" applyFont="1" applyAlignment="1">
      <alignment vertical="center" wrapText="1"/>
    </xf>
    <xf numFmtId="0" fontId="42" fillId="0" borderId="0" xfId="0" applyFont="1" applyAlignment="1">
      <alignment vertical="center" wrapText="1"/>
    </xf>
    <xf numFmtId="49" fontId="23" fillId="0" borderId="0" xfId="0" applyNumberFormat="1" applyFont="1" applyAlignment="1">
      <alignment vertical="top"/>
    </xf>
    <xf numFmtId="49" fontId="32" fillId="0" borderId="0" xfId="0" applyNumberFormat="1" applyFont="1" applyAlignment="1">
      <alignment vertical="top"/>
    </xf>
    <xf numFmtId="49" fontId="23" fillId="0" borderId="0" xfId="0" applyNumberFormat="1" applyFont="1" applyAlignment="1">
      <alignment vertical="top"/>
    </xf>
    <xf numFmtId="49" fontId="37" fillId="0" borderId="0" xfId="0" applyNumberFormat="1" applyFont="1" applyAlignment="1">
      <alignment horizontal="center" vertical="center"/>
    </xf>
    <xf numFmtId="49" fontId="23" fillId="0" borderId="0" xfId="0" applyNumberFormat="1" applyFont="1" applyAlignment="1">
      <alignment vertical="top"/>
    </xf>
    <xf numFmtId="0" fontId="23" fillId="35" borderId="0" xfId="0" applyFont="1" applyFill="1"/>
    <xf numFmtId="0" fontId="43" fillId="35" borderId="0" xfId="0" applyFont="1" applyFill="1" applyAlignment="1">
      <alignment horizontal="center" vertical="center" wrapText="1"/>
    </xf>
    <xf numFmtId="0" fontId="32" fillId="35" borderId="0" xfId="0" applyFont="1" applyFill="1"/>
    <xf numFmtId="49" fontId="23" fillId="0" borderId="0" xfId="0" applyNumberFormat="1" applyFont="1" applyAlignment="1">
      <alignment vertical="top"/>
    </xf>
    <xf numFmtId="49" fontId="37" fillId="0" borderId="0" xfId="0" applyNumberFormat="1" applyFont="1" applyAlignment="1">
      <alignment horizontal="center" vertical="center" wrapText="1"/>
    </xf>
    <xf numFmtId="0" fontId="23" fillId="35" borderId="12" xfId="0" applyFont="1" applyFill="1" applyBorder="1" applyAlignment="1">
      <alignment horizontal="center" vertical="center" wrapText="1"/>
    </xf>
    <xf numFmtId="49" fontId="23" fillId="0" borderId="12" xfId="0" applyNumberFormat="1" applyFont="1" applyBorder="1" applyAlignment="1">
      <alignment horizontal="center" vertical="center" wrapText="1"/>
    </xf>
    <xf numFmtId="49" fontId="44" fillId="37" borderId="15" xfId="0" applyNumberFormat="1" applyFont="1" applyFill="1" applyBorder="1" applyAlignment="1">
      <alignment horizontal="center" vertical="top"/>
    </xf>
    <xf numFmtId="49" fontId="40" fillId="37" borderId="15" xfId="0" applyNumberFormat="1" applyFont="1" applyFill="1" applyBorder="1" applyAlignment="1">
      <alignment horizontal="left" vertical="center"/>
    </xf>
    <xf numFmtId="49" fontId="23" fillId="0" borderId="0" xfId="0" applyNumberFormat="1" applyFont="1" applyAlignment="1">
      <alignment horizontal="center" vertical="top"/>
    </xf>
    <xf numFmtId="0" fontId="41" fillId="0" borderId="0" xfId="0" applyFont="1" applyAlignment="1">
      <alignment vertical="center"/>
    </xf>
    <xf numFmtId="0" fontId="0" fillId="0" borderId="0" xfId="0" applyFont="1" applyAlignment="1">
      <alignment horizontal="center" vertical="center" wrapText="1"/>
    </xf>
    <xf numFmtId="49" fontId="23" fillId="0" borderId="0" xfId="0" applyNumberFormat="1" applyFont="1" applyAlignment="1">
      <alignment horizontal="center" vertical="center" wrapText="1"/>
    </xf>
    <xf numFmtId="49" fontId="23" fillId="0" borderId="0" xfId="0" applyNumberFormat="1" applyFont="1" applyAlignment="1">
      <alignment vertical="center" wrapText="1"/>
    </xf>
    <xf numFmtId="0" fontId="37" fillId="35" borderId="0" xfId="0" applyFont="1" applyFill="1" applyAlignment="1">
      <alignment horizontal="center" vertical="center" wrapText="1"/>
    </xf>
    <xf numFmtId="49" fontId="45" fillId="0" borderId="0" xfId="0" applyNumberFormat="1" applyFont="1" applyAlignment="1">
      <alignment horizontal="right" vertical="top"/>
    </xf>
    <xf numFmtId="49" fontId="45" fillId="0" borderId="0" xfId="0" applyNumberFormat="1" applyFont="1" applyAlignment="1">
      <alignment vertical="top"/>
    </xf>
    <xf numFmtId="0" fontId="23" fillId="0" borderId="0" xfId="0" applyFont="1" applyAlignment="1">
      <alignment horizontal="center" vertical="center" wrapText="1"/>
    </xf>
    <xf numFmtId="49" fontId="23" fillId="0" borderId="0" xfId="0" applyNumberFormat="1" applyFont="1" applyAlignment="1">
      <alignment vertical="top"/>
    </xf>
    <xf numFmtId="0" fontId="0" fillId="0" borderId="0" xfId="0" applyFont="1" applyAlignment="1">
      <alignment vertical="center"/>
    </xf>
    <xf numFmtId="0" fontId="46" fillId="0" borderId="0" xfId="0" applyFont="1" applyAlignment="1">
      <alignment vertical="center" wrapText="1"/>
    </xf>
    <xf numFmtId="49" fontId="23" fillId="0" borderId="16" xfId="0" applyNumberFormat="1" applyFont="1" applyBorder="1" applyAlignment="1">
      <alignment vertical="top"/>
    </xf>
    <xf numFmtId="0" fontId="30" fillId="0" borderId="0" xfId="0" applyFont="1"/>
    <xf numFmtId="49" fontId="47" fillId="0" borderId="0" xfId="0" applyNumberFormat="1" applyFont="1" applyAlignment="1">
      <alignment vertical="top"/>
    </xf>
    <xf numFmtId="0" fontId="47" fillId="0" borderId="0" xfId="0" applyFont="1" applyAlignment="1">
      <alignment vertical="center" wrapText="1"/>
    </xf>
    <xf numFmtId="49" fontId="0" fillId="35" borderId="12" xfId="0" applyNumberFormat="1" applyFont="1" applyFill="1" applyBorder="1" applyAlignment="1">
      <alignment horizontal="center" vertical="center" wrapText="1"/>
    </xf>
    <xf numFmtId="0" fontId="32" fillId="0" borderId="0" xfId="0" applyFont="1" applyAlignment="1">
      <alignment horizontal="left" vertical="center" wrapText="1"/>
    </xf>
    <xf numFmtId="49" fontId="23" fillId="0" borderId="12" xfId="0" applyNumberFormat="1" applyFont="1" applyBorder="1" applyAlignment="1">
      <alignment horizontal="left" vertical="center" wrapText="1"/>
    </xf>
    <xf numFmtId="0" fontId="23" fillId="35" borderId="17" xfId="0" applyFont="1" applyFill="1" applyBorder="1" applyAlignment="1">
      <alignment horizontal="center" vertical="center"/>
    </xf>
    <xf numFmtId="0" fontId="23" fillId="0" borderId="12" xfId="0" applyFont="1" applyBorder="1" applyAlignment="1">
      <alignment vertical="center" wrapText="1"/>
    </xf>
    <xf numFmtId="0" fontId="48" fillId="0" borderId="0" xfId="0" applyFont="1" applyAlignment="1">
      <alignment vertical="center" wrapText="1"/>
    </xf>
    <xf numFmtId="0" fontId="48" fillId="0" borderId="0" xfId="0" applyFont="1" applyAlignment="1">
      <alignment vertical="center"/>
    </xf>
    <xf numFmtId="0" fontId="49" fillId="0" borderId="0" xfId="0" applyFont="1" applyAlignment="1">
      <alignment vertical="center"/>
    </xf>
    <xf numFmtId="0" fontId="48" fillId="0" borderId="0" xfId="0" applyFont="1" applyAlignment="1">
      <alignment vertical="center"/>
    </xf>
    <xf numFmtId="0" fontId="48" fillId="0" borderId="0" xfId="0" applyFont="1" applyAlignment="1">
      <alignment vertical="center"/>
    </xf>
    <xf numFmtId="0" fontId="0" fillId="0" borderId="0" xfId="0" applyFont="1" applyAlignment="1">
      <alignment vertical="top" wrapText="1"/>
    </xf>
    <xf numFmtId="49" fontId="23" fillId="0" borderId="12" xfId="0" applyNumberFormat="1" applyFont="1" applyBorder="1" applyAlignment="1">
      <alignment horizontal="center" vertical="center" wrapText="1"/>
    </xf>
    <xf numFmtId="0" fontId="46" fillId="0" borderId="18" xfId="0" applyFont="1" applyBorder="1" applyAlignment="1">
      <alignment vertical="top" wrapText="1"/>
    </xf>
    <xf numFmtId="49" fontId="0" fillId="0" borderId="12" xfId="0" applyNumberFormat="1" applyFont="1" applyBorder="1" applyAlignment="1">
      <alignment vertical="top" wrapText="1"/>
    </xf>
    <xf numFmtId="0" fontId="0" fillId="0" borderId="12" xfId="0" applyFont="1" applyBorder="1" applyAlignment="1">
      <alignment vertical="top" wrapText="1"/>
    </xf>
    <xf numFmtId="0" fontId="2" fillId="0" borderId="0" xfId="0" applyFont="1"/>
    <xf numFmtId="0" fontId="0" fillId="0" borderId="0" xfId="0" applyFont="1"/>
    <xf numFmtId="0" fontId="37" fillId="0" borderId="0" xfId="0" applyFont="1" applyAlignment="1">
      <alignment horizontal="center" vertical="center" wrapText="1"/>
    </xf>
    <xf numFmtId="0" fontId="37" fillId="0" borderId="0" xfId="0" applyFont="1" applyAlignment="1">
      <alignment horizontal="center" vertical="center" wrapText="1"/>
    </xf>
    <xf numFmtId="0" fontId="23" fillId="0" borderId="0" xfId="0" applyFont="1" applyAlignment="1">
      <alignment horizontal="right" vertical="center" wrapText="1"/>
    </xf>
    <xf numFmtId="4" fontId="23" fillId="0" borderId="0" xfId="0" applyNumberFormat="1" applyFont="1" applyAlignment="1">
      <alignment horizontal="right" vertical="center" wrapText="1"/>
    </xf>
    <xf numFmtId="0" fontId="23" fillId="0" borderId="0" xfId="0" applyFont="1" applyAlignment="1">
      <alignment horizontal="left" vertical="center" wrapText="1" indent="1"/>
    </xf>
    <xf numFmtId="49" fontId="23" fillId="0" borderId="0" xfId="0" applyNumberFormat="1" applyFont="1" applyAlignment="1">
      <alignment vertical="top"/>
    </xf>
    <xf numFmtId="4" fontId="23" fillId="0" borderId="0" xfId="0" applyNumberFormat="1" applyFont="1" applyAlignment="1">
      <alignment horizontal="center" vertical="center" wrapText="1"/>
    </xf>
    <xf numFmtId="0" fontId="47" fillId="0" borderId="0" xfId="0" applyFont="1" applyAlignment="1">
      <alignment vertical="center"/>
    </xf>
    <xf numFmtId="180" fontId="23" fillId="0" borderId="12" xfId="0" applyNumberFormat="1" applyFont="1" applyBorder="1" applyAlignment="1">
      <alignment horizontal="center" vertical="center" wrapText="1"/>
    </xf>
    <xf numFmtId="49" fontId="47" fillId="37" borderId="19" xfId="0" applyNumberFormat="1" applyFont="1" applyFill="1" applyBorder="1" applyAlignment="1">
      <alignment horizontal="left" vertical="center" wrapText="1"/>
    </xf>
    <xf numFmtId="49" fontId="0" fillId="37" borderId="15" xfId="0" applyNumberFormat="1" applyFont="1" applyFill="1" applyBorder="1" applyAlignment="1">
      <alignment horizontal="left" vertical="center"/>
    </xf>
    <xf numFmtId="49" fontId="47" fillId="37" borderId="20" xfId="0" applyNumberFormat="1" applyFont="1" applyFill="1" applyBorder="1" applyAlignment="1">
      <alignment horizontal="left" vertical="center" wrapText="1"/>
    </xf>
    <xf numFmtId="0" fontId="36" fillId="0" borderId="0" xfId="0" applyFont="1" applyAlignment="1">
      <alignment horizontal="center" vertical="center" wrapText="1"/>
    </xf>
    <xf numFmtId="49" fontId="50" fillId="37" borderId="15" xfId="0" applyNumberFormat="1" applyFont="1" applyFill="1" applyBorder="1" applyAlignment="1">
      <alignment horizontal="right" vertical="center" wrapText="1"/>
    </xf>
    <xf numFmtId="49" fontId="23" fillId="37" borderId="15" xfId="0" applyNumberFormat="1" applyFont="1" applyFill="1" applyBorder="1" applyAlignment="1">
      <alignment horizontal="right" vertical="center" wrapText="1"/>
    </xf>
    <xf numFmtId="49" fontId="23" fillId="37" borderId="13" xfId="0" applyNumberFormat="1" applyFont="1" applyFill="1" applyBorder="1" applyAlignment="1">
      <alignment horizontal="right" vertical="center" wrapText="1"/>
    </xf>
    <xf numFmtId="0" fontId="23" fillId="0" borderId="21" xfId="0" applyFont="1" applyBorder="1" applyAlignment="1">
      <alignment vertical="center" wrapText="1"/>
    </xf>
    <xf numFmtId="0" fontId="45" fillId="0" borderId="0" xfId="0" applyFont="1" applyAlignment="1">
      <alignment vertical="center" wrapText="1"/>
    </xf>
    <xf numFmtId="0" fontId="51" fillId="0" borderId="0" xfId="0" applyFont="1" applyAlignment="1">
      <alignment horizontal="center" vertical="center" wrapText="1"/>
    </xf>
    <xf numFmtId="49" fontId="0" fillId="35" borderId="0" xfId="0" applyNumberFormat="1" applyFont="1" applyFill="1" applyAlignment="1">
      <alignment vertical="top"/>
    </xf>
    <xf numFmtId="49" fontId="52" fillId="38" borderId="0" xfId="0" applyNumberFormat="1" applyFont="1" applyFill="1" applyAlignment="1">
      <alignment vertical="top"/>
    </xf>
    <xf numFmtId="49" fontId="52" fillId="0" borderId="0" xfId="0" applyNumberFormat="1" applyFont="1" applyAlignment="1">
      <alignment vertical="top"/>
    </xf>
    <xf numFmtId="0" fontId="47" fillId="0" borderId="0" xfId="0" applyFont="1" applyAlignment="1">
      <alignment vertical="center"/>
    </xf>
    <xf numFmtId="49" fontId="0" fillId="37" borderId="15" xfId="0" applyNumberFormat="1" applyFont="1" applyFill="1" applyBorder="1" applyAlignment="1">
      <alignment horizontal="right" vertical="center" wrapText="1"/>
    </xf>
    <xf numFmtId="49" fontId="0" fillId="0" borderId="0" xfId="0" applyNumberFormat="1" applyFont="1" applyAlignment="1">
      <alignment vertical="top"/>
    </xf>
    <xf numFmtId="0" fontId="50" fillId="0" borderId="11" xfId="0" applyFont="1" applyBorder="1" applyAlignment="1">
      <alignment vertical="center" wrapText="1"/>
    </xf>
    <xf numFmtId="0" fontId="46" fillId="0" borderId="0" xfId="0" applyFont="1" applyAlignment="1">
      <alignment vertical="top" wrapText="1"/>
    </xf>
    <xf numFmtId="0" fontId="23" fillId="0" borderId="11" xfId="0" applyFont="1" applyBorder="1" applyAlignment="1">
      <alignment vertical="center" wrapText="1"/>
    </xf>
    <xf numFmtId="49" fontId="23" fillId="0" borderId="0" xfId="0" applyNumberFormat="1" applyFont="1" applyAlignment="1">
      <alignment vertical="top"/>
    </xf>
    <xf numFmtId="0" fontId="23" fillId="35" borderId="0" xfId="0" applyFont="1" applyFill="1" applyAlignment="1">
      <alignment horizontal="right" vertical="center"/>
    </xf>
    <xf numFmtId="0" fontId="0" fillId="0" borderId="12" xfId="0" applyFont="1" applyBorder="1" applyAlignment="1">
      <alignment horizontal="left" vertical="center" wrapText="1" indent="1"/>
    </xf>
    <xf numFmtId="0" fontId="0" fillId="39" borderId="12" xfId="0" applyFont="1" applyFill="1" applyBorder="1" applyAlignment="1" applyProtection="1">
      <alignment horizontal="left" vertical="center" wrapText="1" indent="2"/>
      <protection locked="0"/>
    </xf>
    <xf numFmtId="49" fontId="48" fillId="0" borderId="0" xfId="0" applyNumberFormat="1" applyFont="1" applyAlignment="1">
      <alignment vertical="top"/>
    </xf>
    <xf numFmtId="0" fontId="0" fillId="0" borderId="12" xfId="0" applyFont="1" applyBorder="1" applyAlignment="1">
      <alignment vertical="center" wrapText="1"/>
    </xf>
    <xf numFmtId="0" fontId="0" fillId="0" borderId="12" xfId="0" applyFont="1" applyBorder="1" applyAlignment="1">
      <alignment horizontal="center" vertical="center" wrapText="1"/>
    </xf>
    <xf numFmtId="0" fontId="0" fillId="39" borderId="12" xfId="0" applyFont="1" applyFill="1" applyBorder="1" applyAlignment="1" applyProtection="1">
      <alignment horizontal="left" vertical="center" wrapText="1" indent="1"/>
      <protection locked="0"/>
    </xf>
    <xf numFmtId="49" fontId="40" fillId="37" borderId="15" xfId="0" applyNumberFormat="1" applyFont="1" applyFill="1" applyBorder="1" applyAlignment="1">
      <alignment horizontal="left" vertical="center" indent="3"/>
    </xf>
    <xf numFmtId="49" fontId="44" fillId="37" borderId="13" xfId="0" applyNumberFormat="1" applyFont="1" applyFill="1" applyBorder="1" applyAlignment="1">
      <alignment horizontal="center" vertical="top"/>
    </xf>
    <xf numFmtId="0" fontId="46" fillId="0" borderId="0" xfId="0" applyFont="1" applyAlignment="1">
      <alignment horizontal="right" vertical="top" wrapText="1"/>
    </xf>
    <xf numFmtId="49" fontId="40" fillId="37" borderId="15" xfId="0" applyNumberFormat="1" applyFont="1" applyFill="1" applyBorder="1" applyAlignment="1">
      <alignment horizontal="left" vertical="center" indent="1"/>
    </xf>
    <xf numFmtId="49" fontId="40" fillId="37" borderId="15" xfId="0" applyNumberFormat="1" applyFont="1" applyFill="1" applyBorder="1" applyAlignment="1">
      <alignment horizontal="left" vertical="center" indent="2"/>
    </xf>
    <xf numFmtId="0" fontId="0" fillId="0" borderId="12" xfId="0" applyFont="1" applyBorder="1" applyAlignment="1">
      <alignment horizontal="left" vertical="center" wrapText="1" indent="1"/>
    </xf>
    <xf numFmtId="0" fontId="0" fillId="0" borderId="12" xfId="0" applyFont="1" applyBorder="1" applyAlignment="1">
      <alignment horizontal="left" vertical="center" wrapText="1" indent="2"/>
    </xf>
    <xf numFmtId="49" fontId="23" fillId="40" borderId="12" xfId="0" applyNumberFormat="1" applyFont="1" applyFill="1" applyBorder="1" applyAlignment="1">
      <alignment horizontal="left" vertical="center" wrapText="1"/>
    </xf>
    <xf numFmtId="0" fontId="23" fillId="0" borderId="12" xfId="0" applyFont="1" applyBorder="1" applyAlignment="1">
      <alignment vertical="top" wrapText="1"/>
    </xf>
    <xf numFmtId="0" fontId="37" fillId="0" borderId="0" xfId="0" applyFont="1" applyAlignment="1">
      <alignment horizontal="center" vertical="center" wrapText="1"/>
    </xf>
    <xf numFmtId="49" fontId="0" fillId="0" borderId="17" xfId="0" applyNumberFormat="1" applyFont="1" applyBorder="1" applyAlignment="1">
      <alignment vertical="top"/>
    </xf>
    <xf numFmtId="0" fontId="48" fillId="0" borderId="0" xfId="0" applyFont="1" applyAlignment="1">
      <alignment vertical="center"/>
    </xf>
    <xf numFmtId="0" fontId="53" fillId="0" borderId="0" xfId="0" applyFont="1" applyAlignment="1">
      <alignment vertical="center"/>
    </xf>
    <xf numFmtId="49" fontId="54" fillId="39" borderId="12" xfId="0" applyNumberFormat="1" applyFont="1" applyFill="1" applyBorder="1" applyAlignment="1" applyProtection="1">
      <alignment horizontal="left" vertical="center" wrapText="1"/>
      <protection locked="0"/>
    </xf>
    <xf numFmtId="49" fontId="44" fillId="37" borderId="13" xfId="0" applyNumberFormat="1" applyFont="1" applyFill="1" applyBorder="1" applyAlignment="1">
      <alignment horizontal="center" vertical="top"/>
    </xf>
    <xf numFmtId="0" fontId="0" fillId="34" borderId="12" xfId="0" applyFont="1" applyFill="1" applyBorder="1" applyAlignment="1">
      <alignment horizontal="left" vertical="center" wrapText="1" indent="1"/>
    </xf>
    <xf numFmtId="49" fontId="23" fillId="39" borderId="12" xfId="0" applyNumberFormat="1" applyFont="1" applyFill="1" applyBorder="1" applyAlignment="1" applyProtection="1">
      <alignment horizontal="left" vertical="center" wrapText="1" indent="1"/>
      <protection locked="0"/>
    </xf>
    <xf numFmtId="49" fontId="23" fillId="34" borderId="12" xfId="0" applyNumberFormat="1" applyFont="1" applyFill="1" applyBorder="1" applyAlignment="1">
      <alignment horizontal="left" vertical="center" wrapText="1" indent="1"/>
    </xf>
    <xf numFmtId="49" fontId="23" fillId="0" borderId="12" xfId="0" applyNumberFormat="1" applyFont="1" applyBorder="1" applyAlignment="1">
      <alignment horizontal="left" vertical="center" wrapText="1" indent="1"/>
    </xf>
    <xf numFmtId="0" fontId="23" fillId="0" borderId="12" xfId="0" applyFont="1" applyBorder="1" applyAlignment="1">
      <alignment horizontal="center" vertical="center" wrapText="1"/>
    </xf>
    <xf numFmtId="0" fontId="46" fillId="0" borderId="0" xfId="0" applyFont="1" applyAlignment="1">
      <alignment vertical="center" wrapText="1"/>
    </xf>
    <xf numFmtId="0" fontId="48" fillId="0" borderId="0" xfId="0" applyFont="1" applyAlignment="1">
      <alignment horizontal="center" vertical="center" wrapText="1"/>
    </xf>
    <xf numFmtId="0" fontId="0" fillId="0" borderId="12" xfId="0" applyFont="1" applyBorder="1" applyAlignment="1">
      <alignment horizontal="left" vertical="center" wrapText="1"/>
    </xf>
    <xf numFmtId="49" fontId="36" fillId="0" borderId="15" xfId="0" applyNumberFormat="1" applyFont="1" applyBorder="1" applyAlignment="1">
      <alignment horizontal="center" vertical="center" wrapText="1"/>
    </xf>
    <xf numFmtId="0" fontId="55" fillId="0" borderId="0" xfId="0" applyFont="1" applyAlignment="1">
      <alignment vertical="center"/>
    </xf>
    <xf numFmtId="0" fontId="56" fillId="0" borderId="0" xfId="0" applyFont="1" applyAlignment="1">
      <alignment vertical="center"/>
    </xf>
    <xf numFmtId="0" fontId="48" fillId="0" borderId="0" xfId="0" applyFont="1" applyAlignment="1">
      <alignment vertical="center"/>
    </xf>
    <xf numFmtId="0" fontId="48" fillId="0" borderId="0" xfId="0" applyFont="1" applyAlignment="1">
      <alignment horizontal="left" vertical="center" wrapText="1" indent="1"/>
    </xf>
    <xf numFmtId="0" fontId="47" fillId="0" borderId="0" xfId="0" applyFont="1" applyAlignment="1">
      <alignment horizontal="left" vertical="center" wrapText="1" indent="1"/>
    </xf>
    <xf numFmtId="0" fontId="57" fillId="0" borderId="0" xfId="0" applyFont="1" applyAlignment="1">
      <alignment horizontal="left" vertical="center" wrapText="1" indent="1"/>
    </xf>
    <xf numFmtId="0" fontId="58" fillId="0" borderId="0" xfId="0" applyFont="1" applyAlignment="1">
      <alignment horizontal="left" vertical="center" indent="1"/>
    </xf>
    <xf numFmtId="0" fontId="57" fillId="0" borderId="0" xfId="0" applyFont="1" applyAlignment="1">
      <alignment vertical="center" wrapText="1"/>
    </xf>
    <xf numFmtId="0" fontId="59" fillId="0" borderId="0" xfId="0" applyFont="1" applyAlignment="1">
      <alignment horizontal="left" vertical="center" wrapText="1"/>
    </xf>
    <xf numFmtId="0" fontId="60" fillId="0" borderId="0" xfId="0" applyFont="1" applyAlignment="1">
      <alignment vertical="center" wrapText="1"/>
    </xf>
    <xf numFmtId="0" fontId="61" fillId="35" borderId="0" xfId="0" applyFont="1" applyFill="1" applyAlignment="1">
      <alignment vertical="center" wrapText="1"/>
    </xf>
    <xf numFmtId="0" fontId="62" fillId="35" borderId="0" xfId="0" applyFont="1" applyFill="1" applyAlignment="1">
      <alignment horizontal="right" vertical="center" wrapText="1" indent="1"/>
    </xf>
    <xf numFmtId="0" fontId="61" fillId="0" borderId="0" xfId="0" applyFont="1" applyAlignment="1">
      <alignment vertical="center" wrapText="1"/>
    </xf>
    <xf numFmtId="0" fontId="61" fillId="35" borderId="0" xfId="0" applyFont="1" applyFill="1" applyAlignment="1">
      <alignment horizontal="right" vertical="center" wrapText="1" indent="1"/>
    </xf>
    <xf numFmtId="0" fontId="63" fillId="35" borderId="0" xfId="0" applyFont="1" applyFill="1" applyAlignment="1">
      <alignment horizontal="center" vertical="center" wrapText="1"/>
    </xf>
    <xf numFmtId="0" fontId="59" fillId="35" borderId="0" xfId="0" applyFont="1" applyFill="1" applyAlignment="1">
      <alignment horizontal="center" vertical="center" wrapText="1"/>
    </xf>
    <xf numFmtId="0" fontId="61" fillId="35" borderId="0" xfId="0" applyFont="1" applyFill="1" applyAlignment="1">
      <alignment horizontal="left" vertical="center" wrapText="1" indent="1"/>
    </xf>
    <xf numFmtId="0" fontId="64" fillId="0" borderId="0" xfId="0" applyFont="1" applyAlignment="1">
      <alignment horizontal="left" vertical="center" wrapText="1"/>
    </xf>
    <xf numFmtId="0" fontId="64" fillId="0" borderId="0" xfId="0" applyFont="1" applyAlignment="1">
      <alignment vertical="center" wrapText="1"/>
    </xf>
    <xf numFmtId="0" fontId="61" fillId="0" borderId="0" xfId="0" applyFont="1" applyAlignment="1">
      <alignment vertical="center" wrapText="1"/>
    </xf>
    <xf numFmtId="0" fontId="61" fillId="0" borderId="0" xfId="0" applyFont="1" applyAlignment="1">
      <alignment horizontal="right" vertical="center"/>
    </xf>
    <xf numFmtId="49" fontId="23" fillId="0" borderId="0" xfId="0" applyNumberFormat="1" applyFont="1" applyAlignment="1">
      <alignment vertical="center" wrapText="1"/>
    </xf>
    <xf numFmtId="0" fontId="0" fillId="0" borderId="0" xfId="0" applyFont="1" applyAlignment="1">
      <alignment horizontal="left" vertical="center" indent="1"/>
    </xf>
    <xf numFmtId="0" fontId="48" fillId="0" borderId="0" xfId="0" applyFont="1" applyAlignment="1">
      <alignment horizontal="left" vertical="center" indent="1"/>
    </xf>
    <xf numFmtId="0" fontId="48" fillId="0" borderId="0" xfId="0" applyFont="1" applyAlignment="1">
      <alignment horizontal="left" vertical="center" indent="1"/>
    </xf>
    <xf numFmtId="0" fontId="48" fillId="0" borderId="22" xfId="0" applyFont="1" applyBorder="1" applyAlignment="1">
      <alignment vertical="center"/>
    </xf>
    <xf numFmtId="0" fontId="23" fillId="0" borderId="12" xfId="0" applyFont="1" applyBorder="1" applyAlignment="1">
      <alignment horizontal="center" vertical="center" wrapText="1"/>
    </xf>
    <xf numFmtId="0" fontId="0" fillId="0" borderId="12" xfId="0" applyFont="1" applyBorder="1" applyAlignment="1">
      <alignment horizontal="center" vertical="center"/>
    </xf>
    <xf numFmtId="49" fontId="0" fillId="0" borderId="12" xfId="0" applyNumberFormat="1" applyFont="1" applyBorder="1" applyAlignment="1">
      <alignment horizontal="center" vertical="center"/>
    </xf>
    <xf numFmtId="49" fontId="0" fillId="0" borderId="12" xfId="0" applyNumberFormat="1" applyFont="1" applyBorder="1" applyAlignment="1">
      <alignment horizontal="left" vertical="center"/>
    </xf>
    <xf numFmtId="49" fontId="23" fillId="0" borderId="0" xfId="0" applyNumberFormat="1" applyFont="1" applyAlignment="1">
      <alignment vertical="top"/>
    </xf>
    <xf numFmtId="0" fontId="23" fillId="0" borderId="0" xfId="0" applyFont="1" applyAlignment="1">
      <alignment horizontal="left" vertical="center" wrapText="1" indent="2"/>
    </xf>
    <xf numFmtId="0" fontId="23" fillId="0" borderId="12" xfId="0" applyFont="1" applyBorder="1" applyAlignment="1">
      <alignment vertical="top" wrapText="1"/>
    </xf>
    <xf numFmtId="0" fontId="0" fillId="39" borderId="12" xfId="0" applyFont="1" applyFill="1" applyBorder="1" applyAlignment="1" applyProtection="1">
      <alignment horizontal="left" vertical="center" wrapText="1"/>
      <protection locked="0"/>
    </xf>
    <xf numFmtId="0" fontId="23" fillId="0" borderId="12" xfId="0" applyFont="1" applyBorder="1" applyAlignment="1">
      <alignment horizontal="left" vertical="top" wrapText="1"/>
    </xf>
    <xf numFmtId="0" fontId="23" fillId="0" borderId="12" xfId="0" applyFont="1" applyBorder="1" applyAlignment="1">
      <alignment horizontal="left" vertical="center" wrapText="1"/>
    </xf>
    <xf numFmtId="0" fontId="23" fillId="0" borderId="12" xfId="0" applyFont="1" applyBorder="1" applyAlignment="1">
      <alignment horizontal="center" vertical="center" wrapText="1"/>
    </xf>
    <xf numFmtId="49" fontId="23" fillId="0" borderId="17" xfId="0" applyNumberFormat="1" applyFont="1" applyBorder="1" applyAlignment="1">
      <alignment horizontal="left" vertical="center" wrapText="1"/>
    </xf>
    <xf numFmtId="49" fontId="50" fillId="37" borderId="14" xfId="0" applyNumberFormat="1" applyFont="1" applyFill="1" applyBorder="1" applyAlignment="1">
      <alignment horizontal="center" vertical="center"/>
    </xf>
    <xf numFmtId="49" fontId="40" fillId="37" borderId="13" xfId="0" applyNumberFormat="1" applyFont="1" applyFill="1" applyBorder="1" applyAlignment="1">
      <alignment horizontal="left" vertical="center"/>
    </xf>
    <xf numFmtId="0" fontId="23" fillId="0" borderId="0" xfId="0" applyFont="1"/>
    <xf numFmtId="0" fontId="65" fillId="0" borderId="0" xfId="0" applyFont="1" applyAlignment="1">
      <alignment vertical="center" wrapText="1"/>
    </xf>
    <xf numFmtId="0" fontId="65" fillId="0" borderId="0" xfId="0" applyFont="1" applyAlignment="1">
      <alignment vertical="center" wrapText="1"/>
    </xf>
    <xf numFmtId="0" fontId="65" fillId="0" borderId="0" xfId="0" applyFont="1"/>
    <xf numFmtId="49" fontId="66" fillId="0" borderId="0" xfId="0" applyNumberFormat="1" applyFont="1" applyAlignment="1">
      <alignment vertical="top"/>
    </xf>
    <xf numFmtId="49" fontId="67" fillId="0" borderId="0" xfId="0" applyNumberFormat="1" applyFont="1" applyAlignment="1">
      <alignment vertical="top"/>
    </xf>
    <xf numFmtId="0" fontId="23" fillId="0" borderId="0" xfId="0" applyFont="1" applyAlignment="1">
      <alignment horizontal="center" vertical="center" wrapText="1"/>
    </xf>
    <xf numFmtId="49" fontId="23" fillId="39" borderId="12" xfId="0" applyNumberFormat="1" applyFont="1" applyFill="1" applyBorder="1" applyAlignment="1" applyProtection="1">
      <alignment horizontal="left" vertical="center" wrapText="1" indent="1"/>
      <protection locked="0"/>
    </xf>
    <xf numFmtId="0" fontId="48" fillId="0" borderId="0" xfId="0" applyFont="1" applyAlignment="1">
      <alignment vertical="top"/>
    </xf>
    <xf numFmtId="49" fontId="48" fillId="0" borderId="0" xfId="0" applyNumberFormat="1" applyFont="1" applyAlignment="1">
      <alignment vertical="top"/>
    </xf>
    <xf numFmtId="0" fontId="0" fillId="0" borderId="0" xfId="0" applyFont="1" applyAlignment="1">
      <alignment vertical="top"/>
    </xf>
    <xf numFmtId="49" fontId="23" fillId="0" borderId="12" xfId="0" applyNumberFormat="1" applyFont="1" applyBorder="1" applyAlignment="1">
      <alignment horizontal="right" vertical="center"/>
    </xf>
    <xf numFmtId="0" fontId="68" fillId="0" borderId="0" xfId="0" applyFont="1" applyAlignment="1">
      <alignment vertical="center"/>
    </xf>
    <xf numFmtId="0" fontId="48" fillId="0" borderId="0" xfId="0" applyFont="1" applyAlignment="1">
      <alignment vertical="center"/>
    </xf>
    <xf numFmtId="0" fontId="48" fillId="0" borderId="0" xfId="0" applyFont="1" applyAlignment="1">
      <alignment vertical="center" wrapText="1"/>
    </xf>
    <xf numFmtId="0" fontId="23" fillId="0" borderId="12" xfId="0" applyFont="1" applyBorder="1" applyAlignment="1">
      <alignment horizontal="left" vertical="center" wrapText="1"/>
    </xf>
    <xf numFmtId="0" fontId="69" fillId="0" borderId="0" xfId="0" applyFont="1" applyAlignment="1">
      <alignment vertical="center"/>
    </xf>
    <xf numFmtId="49" fontId="36" fillId="35" borderId="0" xfId="0" applyNumberFormat="1" applyFont="1" applyFill="1" applyAlignment="1">
      <alignment horizontal="center" vertical="center" wrapText="1"/>
    </xf>
    <xf numFmtId="0" fontId="0" fillId="0" borderId="0" xfId="0" applyFont="1" applyAlignment="1">
      <alignment vertical="center"/>
    </xf>
    <xf numFmtId="0" fontId="23" fillId="0" borderId="12" xfId="0" applyFont="1" applyBorder="1" applyAlignment="1">
      <alignment horizontal="center" vertical="center" wrapText="1"/>
    </xf>
    <xf numFmtId="49" fontId="23" fillId="0" borderId="12" xfId="0" applyNumberFormat="1" applyFont="1" applyBorder="1" applyAlignment="1">
      <alignment horizontal="center" vertical="center" wrapText="1"/>
    </xf>
    <xf numFmtId="0" fontId="23" fillId="35" borderId="12" xfId="0" applyFont="1" applyFill="1" applyBorder="1" applyAlignment="1">
      <alignment horizontal="left" vertical="center" wrapText="1" indent="4"/>
    </xf>
    <xf numFmtId="0" fontId="23" fillId="35" borderId="12" xfId="0" applyFont="1" applyFill="1" applyBorder="1" applyAlignment="1">
      <alignment horizontal="left" vertical="center" wrapText="1" indent="5"/>
    </xf>
    <xf numFmtId="49" fontId="40" fillId="37" borderId="15" xfId="0" applyNumberFormat="1" applyFont="1" applyFill="1" applyBorder="1" applyAlignment="1">
      <alignment horizontal="left" vertical="center" indent="5"/>
    </xf>
    <xf numFmtId="49" fontId="40" fillId="37" borderId="15" xfId="0" applyNumberFormat="1" applyFont="1" applyFill="1" applyBorder="1" applyAlignment="1">
      <alignment horizontal="left" vertical="center" indent="6"/>
    </xf>
    <xf numFmtId="0" fontId="23" fillId="0" borderId="12" xfId="0" applyFont="1" applyBorder="1" applyAlignment="1">
      <alignment vertical="center" wrapText="1"/>
    </xf>
    <xf numFmtId="0" fontId="46" fillId="0" borderId="0" xfId="0" applyFont="1" applyAlignment="1">
      <alignment vertical="center" wrapText="1"/>
    </xf>
    <xf numFmtId="0" fontId="70" fillId="35" borderId="0" xfId="0" applyFont="1" applyFill="1" applyAlignment="1">
      <alignment vertical="center" wrapText="1"/>
    </xf>
    <xf numFmtId="49" fontId="23" fillId="0" borderId="12" xfId="0" applyNumberFormat="1" applyFont="1" applyBorder="1" applyAlignment="1">
      <alignment horizontal="center" vertical="center" wrapText="1"/>
    </xf>
    <xf numFmtId="49" fontId="0" fillId="0" borderId="0" xfId="0" applyNumberFormat="1" applyFont="1" applyAlignment="1">
      <alignment vertical="top"/>
    </xf>
    <xf numFmtId="49" fontId="40" fillId="37" borderId="14" xfId="0" applyNumberFormat="1" applyFont="1" applyFill="1" applyBorder="1" applyAlignment="1">
      <alignment horizontal="left" vertical="center" indent="1"/>
    </xf>
    <xf numFmtId="0" fontId="0" fillId="35" borderId="12" xfId="0" applyFont="1" applyFill="1" applyBorder="1" applyAlignment="1">
      <alignment horizontal="right" vertical="center" wrapText="1" indent="1"/>
    </xf>
    <xf numFmtId="49" fontId="0" fillId="0" borderId="12" xfId="0" applyNumberFormat="1" applyFont="1" applyBorder="1" applyAlignment="1">
      <alignment horizontal="left" vertical="center"/>
    </xf>
    <xf numFmtId="0" fontId="23" fillId="0" borderId="12" xfId="0" applyFont="1" applyBorder="1" applyAlignment="1">
      <alignment vertical="top" wrapText="1"/>
    </xf>
    <xf numFmtId="0" fontId="23" fillId="0" borderId="12" xfId="0" applyFont="1" applyBorder="1" applyAlignment="1">
      <alignment vertical="center" wrapText="1"/>
    </xf>
    <xf numFmtId="0" fontId="68" fillId="0" borderId="0" xfId="0" applyFont="1" applyAlignment="1">
      <alignment vertical="center"/>
    </xf>
    <xf numFmtId="0" fontId="23" fillId="0" borderId="12" xfId="0" applyFont="1" applyBorder="1" applyAlignment="1">
      <alignment horizontal="left" vertical="center" wrapText="1" indent="6"/>
    </xf>
    <xf numFmtId="0" fontId="23" fillId="0" borderId="17" xfId="0" applyFont="1" applyBorder="1" applyAlignment="1">
      <alignment vertical="center" wrapText="1"/>
    </xf>
    <xf numFmtId="0" fontId="23" fillId="0" borderId="23" xfId="0" applyFont="1" applyBorder="1" applyAlignment="1">
      <alignment vertical="center" wrapText="1"/>
    </xf>
    <xf numFmtId="49" fontId="0" fillId="37" borderId="13" xfId="0" applyNumberFormat="1" applyFont="1" applyFill="1" applyBorder="1" applyAlignment="1">
      <alignment horizontal="center" vertical="center" wrapText="1"/>
    </xf>
    <xf numFmtId="0" fontId="0" fillId="0" borderId="14" xfId="0" applyFont="1" applyBorder="1" applyAlignment="1">
      <alignment vertical="center"/>
    </xf>
    <xf numFmtId="0" fontId="0" fillId="35" borderId="14" xfId="0" applyFont="1" applyFill="1" applyBorder="1" applyAlignment="1">
      <alignment horizontal="right" vertical="center" wrapText="1" indent="1"/>
    </xf>
    <xf numFmtId="49" fontId="32" fillId="0" borderId="0" xfId="0" applyNumberFormat="1" applyFont="1" applyAlignment="1">
      <alignment vertical="top"/>
    </xf>
    <xf numFmtId="0" fontId="39" fillId="35" borderId="0" xfId="0" applyFont="1" applyFill="1" applyAlignment="1">
      <alignment vertical="center" wrapText="1"/>
    </xf>
    <xf numFmtId="0" fontId="23" fillId="35" borderId="12" xfId="0" applyFont="1" applyFill="1" applyBorder="1" applyAlignment="1">
      <alignment horizontal="left" vertical="center" wrapText="1" indent="1"/>
    </xf>
    <xf numFmtId="0" fontId="23" fillId="35" borderId="12" xfId="0" applyFont="1" applyFill="1" applyBorder="1" applyAlignment="1">
      <alignment horizontal="left" vertical="center" wrapText="1" indent="2"/>
    </xf>
    <xf numFmtId="0" fontId="23" fillId="35" borderId="12" xfId="0" applyFont="1" applyFill="1" applyBorder="1" applyAlignment="1">
      <alignment horizontal="left" vertical="center" wrapText="1" indent="3"/>
    </xf>
    <xf numFmtId="0" fontId="23" fillId="0" borderId="12" xfId="0" applyFont="1" applyBorder="1" applyAlignment="1">
      <alignment horizontal="left" vertical="center" wrapText="1" indent="4"/>
    </xf>
    <xf numFmtId="49" fontId="40" fillId="37" borderId="14" xfId="0" applyNumberFormat="1" applyFont="1" applyFill="1" applyBorder="1" applyAlignment="1">
      <alignment vertical="center" wrapText="1"/>
    </xf>
    <xf numFmtId="49" fontId="40" fillId="37" borderId="15" xfId="0" applyNumberFormat="1" applyFont="1" applyFill="1" applyBorder="1" applyAlignment="1">
      <alignment vertical="center"/>
    </xf>
    <xf numFmtId="49" fontId="40" fillId="37" borderId="15" xfId="0" applyNumberFormat="1" applyFont="1" applyFill="1" applyBorder="1" applyAlignment="1">
      <alignment vertical="center" wrapText="1"/>
    </xf>
    <xf numFmtId="0" fontId="23" fillId="0" borderId="0" xfId="0" applyFont="1" applyAlignment="1">
      <alignment vertical="top" wrapText="1"/>
    </xf>
    <xf numFmtId="49" fontId="40" fillId="37" borderId="14" xfId="0" applyNumberFormat="1" applyFont="1" applyFill="1" applyBorder="1" applyAlignment="1">
      <alignment horizontal="left" vertical="center"/>
    </xf>
    <xf numFmtId="0" fontId="40" fillId="37" borderId="14" xfId="0" applyFont="1" applyFill="1" applyBorder="1" applyAlignment="1">
      <alignment horizontal="left" vertical="center"/>
    </xf>
    <xf numFmtId="0" fontId="40" fillId="37" borderId="15" xfId="0" applyFont="1" applyFill="1" applyBorder="1" applyAlignment="1">
      <alignment horizontal="left" vertical="center"/>
    </xf>
    <xf numFmtId="0" fontId="40" fillId="37" borderId="13" xfId="0" applyFont="1" applyFill="1" applyBorder="1" applyAlignment="1">
      <alignment horizontal="left" vertical="center"/>
    </xf>
    <xf numFmtId="0" fontId="0" fillId="0" borderId="0" xfId="0" applyFont="1" applyAlignment="1">
      <alignment vertical="center"/>
    </xf>
    <xf numFmtId="49" fontId="0" fillId="0" borderId="0" xfId="0" applyNumberFormat="1" applyFont="1" applyAlignment="1">
      <alignment vertical="center"/>
    </xf>
    <xf numFmtId="0" fontId="50" fillId="35" borderId="0" xfId="0" applyFont="1" applyFill="1" applyAlignment="1">
      <alignment horizontal="center" vertical="center" wrapText="1"/>
    </xf>
    <xf numFmtId="0" fontId="23" fillId="0" borderId="0" xfId="0" applyFont="1" applyAlignment="1">
      <alignment vertical="center" wrapText="1"/>
    </xf>
    <xf numFmtId="49" fontId="23" fillId="37" borderId="13" xfId="0" applyNumberFormat="1" applyFont="1" applyFill="1" applyBorder="1" applyAlignment="1">
      <alignment horizontal="center" vertical="center" wrapText="1"/>
    </xf>
    <xf numFmtId="4" fontId="23" fillId="0" borderId="12" xfId="0" applyNumberFormat="1" applyFont="1" applyBorder="1" applyAlignment="1">
      <alignment horizontal="right" vertical="center" wrapText="1"/>
    </xf>
    <xf numFmtId="0" fontId="23" fillId="0" borderId="0" xfId="0" applyFont="1" applyAlignment="1">
      <alignment vertical="center" wrapText="1"/>
    </xf>
    <xf numFmtId="0" fontId="23" fillId="0" borderId="0" xfId="0" applyFont="1" applyAlignment="1">
      <alignment vertical="center" wrapText="1"/>
    </xf>
    <xf numFmtId="4" fontId="48" fillId="0" borderId="12" xfId="0" applyNumberFormat="1" applyFont="1" applyBorder="1" applyAlignment="1">
      <alignment horizontal="center" vertical="center" wrapText="1"/>
    </xf>
    <xf numFmtId="0" fontId="0" fillId="0" borderId="0" xfId="0" applyFont="1" applyAlignment="1">
      <alignment vertical="center"/>
    </xf>
    <xf numFmtId="0" fontId="0" fillId="0" borderId="12" xfId="0" applyFont="1" applyBorder="1" applyAlignment="1">
      <alignment horizontal="left" vertical="center" wrapText="1" indent="1"/>
    </xf>
    <xf numFmtId="49" fontId="71" fillId="0" borderId="14" xfId="0" applyNumberFormat="1" applyFont="1" applyBorder="1" applyAlignment="1">
      <alignment horizontal="left" vertical="center" wrapText="1"/>
    </xf>
    <xf numFmtId="0" fontId="68" fillId="0" borderId="12" xfId="0" applyFont="1" applyBorder="1" applyAlignment="1">
      <alignment horizontal="left" vertical="center" wrapText="1" indent="2"/>
    </xf>
    <xf numFmtId="49" fontId="68" fillId="0" borderId="12" xfId="0" applyNumberFormat="1" applyFont="1" applyBorder="1" applyAlignment="1">
      <alignment horizontal="center" vertical="center" wrapText="1"/>
    </xf>
    <xf numFmtId="0" fontId="72" fillId="0" borderId="0" xfId="0" applyFont="1" applyAlignment="1">
      <alignment vertical="center" wrapText="1"/>
    </xf>
    <xf numFmtId="0" fontId="23" fillId="0" borderId="0" xfId="0" applyFont="1" applyAlignment="1">
      <alignment vertical="top"/>
    </xf>
    <xf numFmtId="0" fontId="23" fillId="0" borderId="0" xfId="0" applyFont="1" applyAlignment="1">
      <alignment horizontal="right" vertical="top" wrapText="1"/>
    </xf>
    <xf numFmtId="0" fontId="23" fillId="0" borderId="17" xfId="0" applyFont="1" applyBorder="1" applyAlignment="1">
      <alignment vertical="center" wrapText="1"/>
    </xf>
    <xf numFmtId="49" fontId="44" fillId="37" borderId="15" xfId="0" applyNumberFormat="1" applyFont="1" applyFill="1" applyBorder="1" applyAlignment="1">
      <alignment horizontal="center" vertical="top"/>
    </xf>
    <xf numFmtId="0" fontId="23" fillId="0" borderId="23" xfId="0" applyFont="1" applyBorder="1" applyAlignment="1">
      <alignment vertical="top" wrapText="1"/>
    </xf>
    <xf numFmtId="0" fontId="0" fillId="0" borderId="0" xfId="0" applyFont="1" applyAlignment="1">
      <alignment horizontal="left" vertical="top" wrapText="1"/>
    </xf>
    <xf numFmtId="0" fontId="23" fillId="0" borderId="17" xfId="0" applyFont="1" applyBorder="1" applyAlignment="1">
      <alignment vertical="top" wrapText="1"/>
    </xf>
    <xf numFmtId="0" fontId="23" fillId="0" borderId="0" xfId="0" applyFont="1" applyAlignment="1">
      <alignment vertical="center" wrapText="1"/>
    </xf>
    <xf numFmtId="49" fontId="23" fillId="0" borderId="0" xfId="0" applyNumberFormat="1" applyFont="1" applyAlignment="1">
      <alignment vertical="top"/>
    </xf>
    <xf numFmtId="0" fontId="39" fillId="0" borderId="0" xfId="0" applyFont="1" applyAlignment="1">
      <alignment vertical="center" wrapText="1"/>
    </xf>
    <xf numFmtId="0" fontId="23" fillId="0" borderId="12" xfId="0" applyFont="1" applyBorder="1" applyAlignment="1">
      <alignment vertical="center" wrapText="1"/>
    </xf>
    <xf numFmtId="49" fontId="23" fillId="0" borderId="0" xfId="0" applyNumberFormat="1" applyFont="1" applyAlignment="1">
      <alignment horizontal="center" vertical="center" wrapText="1"/>
    </xf>
    <xf numFmtId="0" fontId="23" fillId="37" borderId="14" xfId="0" applyFont="1" applyFill="1" applyBorder="1" applyAlignment="1">
      <alignment vertical="center" wrapText="1"/>
    </xf>
    <xf numFmtId="0" fontId="23" fillId="39" borderId="12" xfId="0" applyFont="1" applyFill="1" applyBorder="1" applyAlignment="1" applyProtection="1">
      <alignment horizontal="left" vertical="center" wrapText="1" indent="1"/>
      <protection locked="0"/>
    </xf>
    <xf numFmtId="49" fontId="40" fillId="37" borderId="15" xfId="0" applyNumberFormat="1" applyFont="1" applyFill="1" applyBorder="1" applyAlignment="1">
      <alignment horizontal="left" vertical="center" indent="2"/>
    </xf>
    <xf numFmtId="0" fontId="48" fillId="0" borderId="0" xfId="0" applyFont="1" applyAlignment="1">
      <alignment vertical="center"/>
    </xf>
    <xf numFmtId="0" fontId="73" fillId="0" borderId="0" xfId="0" applyFont="1" applyAlignment="1">
      <alignment vertical="center" wrapText="1"/>
    </xf>
    <xf numFmtId="0" fontId="42" fillId="35" borderId="0" xfId="0" applyFont="1" applyFill="1" applyAlignment="1">
      <alignment horizontal="center" vertical="center" wrapText="1"/>
    </xf>
    <xf numFmtId="0" fontId="23" fillId="0" borderId="24" xfId="0" applyFont="1" applyBorder="1" applyAlignment="1">
      <alignment vertical="center" wrapText="1"/>
    </xf>
    <xf numFmtId="0" fontId="37" fillId="0" borderId="0" xfId="0" applyFont="1" applyAlignment="1">
      <alignment vertical="center" wrapText="1"/>
    </xf>
    <xf numFmtId="49" fontId="23" fillId="0" borderId="24" xfId="0" applyNumberFormat="1" applyFont="1" applyBorder="1" applyAlignment="1">
      <alignment vertical="top"/>
    </xf>
    <xf numFmtId="0" fontId="48" fillId="0" borderId="24" xfId="0" applyFont="1" applyBorder="1" applyAlignment="1">
      <alignment horizontal="center" vertical="center" wrapText="1"/>
    </xf>
    <xf numFmtId="0" fontId="48" fillId="0" borderId="24" xfId="0" applyFont="1" applyBorder="1" applyAlignment="1">
      <alignment vertical="center" wrapText="1"/>
    </xf>
    <xf numFmtId="49" fontId="32" fillId="0" borderId="0" xfId="0" applyNumberFormat="1" applyFont="1" applyAlignment="1">
      <alignment vertical="top"/>
    </xf>
    <xf numFmtId="49" fontId="0" fillId="0" borderId="24" xfId="0" applyNumberFormat="1" applyFont="1" applyBorder="1" applyAlignment="1">
      <alignment vertical="top"/>
    </xf>
    <xf numFmtId="49" fontId="23" fillId="0" borderId="0" xfId="0" applyNumberFormat="1" applyFont="1" applyAlignment="1">
      <alignment vertical="top"/>
    </xf>
    <xf numFmtId="49" fontId="23" fillId="0" borderId="0" xfId="0" applyNumberFormat="1" applyFont="1" applyAlignment="1">
      <alignment vertical="center" wrapText="1"/>
    </xf>
    <xf numFmtId="0" fontId="32" fillId="0" borderId="0" xfId="0" applyFont="1" applyAlignment="1">
      <alignment vertical="center" wrapText="1"/>
    </xf>
    <xf numFmtId="0" fontId="23" fillId="35" borderId="0" xfId="0" applyFont="1" applyFill="1" applyAlignment="1">
      <alignment vertical="center" wrapText="1"/>
    </xf>
    <xf numFmtId="49" fontId="23" fillId="0" borderId="0" xfId="0" applyNumberFormat="1" applyFont="1" applyAlignment="1">
      <alignment vertical="center" wrapText="1"/>
    </xf>
    <xf numFmtId="49" fontId="40" fillId="37" borderId="15" xfId="0" applyNumberFormat="1" applyFont="1" applyFill="1" applyBorder="1" applyAlignment="1">
      <alignment horizontal="left" vertical="center" indent="4"/>
    </xf>
    <xf numFmtId="49" fontId="0" fillId="37" borderId="15" xfId="0" applyNumberFormat="1" applyFont="1" applyFill="1" applyBorder="1" applyAlignment="1">
      <alignment horizontal="center" vertical="center" wrapText="1"/>
    </xf>
    <xf numFmtId="49" fontId="23" fillId="37" borderId="15" xfId="0" applyNumberFormat="1" applyFont="1" applyFill="1" applyBorder="1" applyAlignment="1">
      <alignment horizontal="center" vertical="center" wrapText="1"/>
    </xf>
    <xf numFmtId="0" fontId="48" fillId="0" borderId="0" xfId="0" applyFont="1" applyAlignment="1">
      <alignment vertical="center"/>
    </xf>
    <xf numFmtId="0" fontId="23" fillId="0" borderId="0" xfId="0" applyFont="1" applyAlignment="1">
      <alignment vertical="top" wrapText="1"/>
    </xf>
    <xf numFmtId="49" fontId="23" fillId="0" borderId="12" xfId="0" applyNumberFormat="1" applyFont="1" applyBorder="1" applyAlignment="1">
      <alignment horizontal="right" vertical="top"/>
    </xf>
    <xf numFmtId="49" fontId="23" fillId="0" borderId="17" xfId="0" applyNumberFormat="1" applyFont="1" applyBorder="1" applyAlignment="1">
      <alignment horizontal="right" vertical="top"/>
    </xf>
    <xf numFmtId="49" fontId="40" fillId="37" borderId="15" xfId="0" applyNumberFormat="1" applyFont="1" applyFill="1" applyBorder="1" applyAlignment="1">
      <alignment horizontal="left" vertical="center" indent="3"/>
    </xf>
    <xf numFmtId="49" fontId="0" fillId="0" borderId="0" xfId="0" applyNumberFormat="1" applyFont="1" applyAlignment="1">
      <alignment vertical="top"/>
    </xf>
    <xf numFmtId="0" fontId="23" fillId="0" borderId="0" xfId="0" applyFont="1" applyAlignment="1">
      <alignment vertical="center" wrapText="1"/>
    </xf>
    <xf numFmtId="49" fontId="39" fillId="0" borderId="0" xfId="0" applyNumberFormat="1" applyFont="1" applyAlignment="1">
      <alignment vertical="top"/>
    </xf>
    <xf numFmtId="0" fontId="39" fillId="35" borderId="0" xfId="0" applyFont="1" applyFill="1" applyAlignment="1">
      <alignment vertical="center" wrapText="1"/>
    </xf>
    <xf numFmtId="49" fontId="23" fillId="39" borderId="12" xfId="0" applyNumberFormat="1" applyFont="1" applyFill="1" applyBorder="1" applyAlignment="1" applyProtection="1">
      <alignment horizontal="left" vertical="center" wrapText="1"/>
      <protection locked="0"/>
    </xf>
    <xf numFmtId="49" fontId="23" fillId="36" borderId="12" xfId="0" applyNumberFormat="1" applyFont="1" applyFill="1" applyBorder="1" applyAlignment="1" applyProtection="1">
      <alignment horizontal="left" vertical="center" wrapText="1"/>
      <protection locked="0"/>
    </xf>
    <xf numFmtId="49" fontId="48" fillId="0" borderId="0" xfId="0" applyNumberFormat="1" applyFont="1" applyAlignment="1">
      <alignment vertical="top"/>
    </xf>
    <xf numFmtId="49" fontId="48" fillId="0" borderId="0" xfId="0" applyNumberFormat="1" applyFont="1" applyAlignment="1">
      <alignment vertical="top"/>
    </xf>
    <xf numFmtId="49" fontId="23" fillId="39" borderId="12" xfId="0" applyNumberFormat="1" applyFont="1" applyFill="1" applyBorder="1" applyAlignment="1" applyProtection="1">
      <alignment horizontal="left" vertical="center" wrapText="1"/>
      <protection locked="0"/>
    </xf>
    <xf numFmtId="49" fontId="54" fillId="39" borderId="12" xfId="0" applyNumberFormat="1" applyFont="1" applyFill="1" applyBorder="1" applyAlignment="1" applyProtection="1">
      <alignment horizontal="left" vertical="center" wrapText="1"/>
      <protection locked="0"/>
    </xf>
    <xf numFmtId="49" fontId="0" fillId="0" borderId="25" xfId="0" applyNumberFormat="1" applyFont="1" applyBorder="1" applyAlignment="1">
      <alignment horizontal="center" vertical="center"/>
    </xf>
    <xf numFmtId="177" fontId="23" fillId="0" borderId="12" xfId="0" applyNumberFormat="1" applyFont="1" applyBorder="1" applyAlignment="1">
      <alignment horizontal="right" vertical="center" wrapText="1"/>
    </xf>
    <xf numFmtId="49" fontId="54" fillId="39" borderId="14" xfId="0" applyNumberFormat="1" applyFont="1" applyFill="1" applyBorder="1" applyAlignment="1" applyProtection="1">
      <alignment horizontal="left" vertical="center" wrapText="1"/>
      <protection locked="0"/>
    </xf>
    <xf numFmtId="0" fontId="23" fillId="35" borderId="12" xfId="0" applyFont="1" applyFill="1" applyBorder="1" applyAlignment="1">
      <alignment horizontal="center" vertical="center" wrapText="1"/>
    </xf>
    <xf numFmtId="0" fontId="37" fillId="35" borderId="0" xfId="0" applyFont="1" applyFill="1" applyAlignment="1">
      <alignment horizontal="center" vertical="center" wrapText="1"/>
    </xf>
    <xf numFmtId="0" fontId="0" fillId="0" borderId="12" xfId="0" applyFont="1" applyBorder="1" applyAlignment="1">
      <alignment horizontal="left" vertical="center" wrapText="1"/>
    </xf>
    <xf numFmtId="0" fontId="23" fillId="35" borderId="0" xfId="0" applyFont="1" applyFill="1" applyAlignment="1">
      <alignment horizontal="center" vertical="center" wrapText="1"/>
    </xf>
    <xf numFmtId="0" fontId="50" fillId="0" borderId="0" xfId="0" applyFont="1" applyAlignment="1">
      <alignment vertical="top" wrapText="1"/>
    </xf>
    <xf numFmtId="0" fontId="23" fillId="35" borderId="26" xfId="0" applyFont="1" applyFill="1" applyBorder="1" applyAlignment="1">
      <alignment horizontal="right" vertical="center" wrapText="1" indent="1"/>
    </xf>
    <xf numFmtId="0" fontId="0" fillId="35" borderId="26" xfId="0" applyFont="1" applyFill="1" applyBorder="1" applyAlignment="1">
      <alignment horizontal="right" vertical="center" wrapText="1" indent="1"/>
    </xf>
    <xf numFmtId="0" fontId="23" fillId="0" borderId="0" xfId="0" applyFont="1" applyAlignment="1">
      <alignment horizontal="left" vertical="center" wrapText="1" indent="4"/>
    </xf>
    <xf numFmtId="0" fontId="23" fillId="35" borderId="0" xfId="0" applyFont="1" applyFill="1" applyAlignment="1">
      <alignment horizontal="center" vertical="center" wrapText="1"/>
    </xf>
    <xf numFmtId="49" fontId="40" fillId="37" borderId="15" xfId="0" applyNumberFormat="1" applyFont="1" applyFill="1" applyBorder="1" applyAlignment="1">
      <alignment horizontal="left" vertical="center"/>
    </xf>
    <xf numFmtId="0" fontId="23" fillId="0" borderId="19" xfId="0" applyFont="1" applyBorder="1" applyAlignment="1">
      <alignment vertical="center" wrapText="1"/>
    </xf>
    <xf numFmtId="0" fontId="23" fillId="0" borderId="0" xfId="0" applyFont="1" applyAlignment="1">
      <alignment horizontal="left" vertical="center" wrapText="1" indent="1"/>
    </xf>
    <xf numFmtId="0" fontId="72" fillId="0" borderId="0" xfId="0" applyFont="1" applyAlignment="1">
      <alignment vertical="center" wrapText="1"/>
    </xf>
    <xf numFmtId="49" fontId="0" fillId="35" borderId="14" xfId="0" applyNumberFormat="1" applyFont="1" applyFill="1" applyBorder="1" applyAlignment="1">
      <alignment horizontal="center" vertical="center" wrapText="1"/>
    </xf>
    <xf numFmtId="49" fontId="40" fillId="37" borderId="27" xfId="0" applyNumberFormat="1" applyFont="1" applyFill="1" applyBorder="1" applyAlignment="1">
      <alignment horizontal="left" vertical="center" indent="2"/>
    </xf>
    <xf numFmtId="49" fontId="54" fillId="36" borderId="12" xfId="0" applyNumberFormat="1" applyFont="1" applyFill="1" applyBorder="1" applyAlignment="1" applyProtection="1">
      <alignment horizontal="left" vertical="center" wrapText="1"/>
      <protection locked="0"/>
    </xf>
    <xf numFmtId="49" fontId="23" fillId="0" borderId="19" xfId="0" applyNumberFormat="1" applyFont="1" applyBorder="1" applyAlignment="1">
      <alignment vertical="top"/>
    </xf>
    <xf numFmtId="49" fontId="74" fillId="37" borderId="13" xfId="0" applyNumberFormat="1" applyFont="1" applyFill="1" applyBorder="1" applyAlignment="1">
      <alignment horizontal="left" vertical="center" indent="1"/>
    </xf>
    <xf numFmtId="49" fontId="74" fillId="37" borderId="15" xfId="0" applyNumberFormat="1" applyFont="1" applyFill="1" applyBorder="1" applyAlignment="1">
      <alignment horizontal="left" vertical="center" indent="1"/>
    </xf>
    <xf numFmtId="49" fontId="50" fillId="37" borderId="14" xfId="0" applyNumberFormat="1" applyFont="1" applyFill="1" applyBorder="1" applyAlignment="1">
      <alignment horizontal="center" vertical="center"/>
    </xf>
    <xf numFmtId="49" fontId="74" fillId="37" borderId="15" xfId="0" applyNumberFormat="1" applyFont="1" applyFill="1" applyBorder="1" applyAlignment="1">
      <alignment vertical="center"/>
    </xf>
    <xf numFmtId="0" fontId="0" fillId="41" borderId="12" xfId="0" applyFont="1" applyFill="1" applyBorder="1" applyAlignment="1">
      <alignment horizontal="right" vertical="center"/>
    </xf>
    <xf numFmtId="0" fontId="33" fillId="0" borderId="0" xfId="0" applyFont="1" applyAlignment="1">
      <alignment vertical="center" wrapText="1"/>
    </xf>
    <xf numFmtId="0" fontId="23" fillId="0" borderId="0" xfId="0" applyFont="1" applyAlignment="1">
      <alignment vertical="center" wrapText="1"/>
    </xf>
    <xf numFmtId="0" fontId="34" fillId="35" borderId="0" xfId="0" applyFont="1" applyFill="1" applyAlignment="1">
      <alignment vertical="center" wrapText="1"/>
    </xf>
    <xf numFmtId="0" fontId="32" fillId="0" borderId="0" xfId="0" applyFont="1" applyAlignment="1">
      <alignment horizontal="center" vertical="center" wrapText="1"/>
    </xf>
    <xf numFmtId="0" fontId="0" fillId="0" borderId="0" xfId="0" applyFont="1" applyAlignment="1">
      <alignment vertical="center" wrapText="1"/>
    </xf>
    <xf numFmtId="0" fontId="32" fillId="0" borderId="0" xfId="0" applyFont="1" applyAlignment="1">
      <alignment horizontal="left" vertical="center" wrapText="1"/>
    </xf>
    <xf numFmtId="0" fontId="0" fillId="0" borderId="12" xfId="0" applyFont="1" applyBorder="1" applyAlignment="1">
      <alignment horizontal="center" vertical="center" wrapText="1"/>
    </xf>
    <xf numFmtId="49" fontId="40" fillId="37" borderId="15" xfId="0" applyNumberFormat="1" applyFont="1" applyFill="1" applyBorder="1" applyAlignment="1">
      <alignment horizontal="left" vertical="center" indent="1"/>
    </xf>
    <xf numFmtId="49" fontId="40" fillId="37" borderId="15" xfId="0" applyNumberFormat="1" applyFont="1" applyFill="1" applyBorder="1" applyAlignment="1">
      <alignment horizontal="left" vertical="center"/>
    </xf>
    <xf numFmtId="0" fontId="47" fillId="0" borderId="0" xfId="0" applyFont="1" applyAlignment="1">
      <alignment vertical="center" wrapText="1"/>
    </xf>
    <xf numFmtId="0" fontId="0" fillId="0" borderId="0" xfId="0" applyFont="1" applyAlignment="1">
      <alignment vertical="center"/>
    </xf>
    <xf numFmtId="49" fontId="48" fillId="0" borderId="0" xfId="0" applyNumberFormat="1" applyFont="1" applyAlignment="1">
      <alignment vertical="top"/>
    </xf>
    <xf numFmtId="0" fontId="75" fillId="0" borderId="0" xfId="0" applyFont="1" applyAlignment="1">
      <alignment vertical="center" wrapText="1"/>
    </xf>
    <xf numFmtId="49" fontId="50" fillId="37" borderId="14" xfId="0" applyNumberFormat="1" applyFont="1" applyFill="1" applyBorder="1" applyAlignment="1">
      <alignment horizontal="right" vertical="center" wrapText="1"/>
    </xf>
    <xf numFmtId="49" fontId="47" fillId="0" borderId="0" xfId="0" applyNumberFormat="1" applyFont="1" applyAlignment="1">
      <alignment vertical="top"/>
    </xf>
    <xf numFmtId="49" fontId="0" fillId="0" borderId="0" xfId="0" applyNumberFormat="1" applyFont="1" applyAlignment="1">
      <alignment vertical="top"/>
    </xf>
    <xf numFmtId="49" fontId="0" fillId="37" borderId="13" xfId="0" applyNumberFormat="1" applyFont="1" applyFill="1" applyBorder="1" applyAlignment="1">
      <alignment horizontal="right" vertical="center" wrapText="1"/>
    </xf>
    <xf numFmtId="0" fontId="0" fillId="0" borderId="12" xfId="0" applyFont="1" applyBorder="1" applyAlignment="1">
      <alignment horizontal="center" vertical="center" wrapText="1"/>
    </xf>
    <xf numFmtId="0" fontId="59" fillId="0" borderId="0" xfId="0" applyFont="1" applyAlignment="1">
      <alignment horizontal="left" vertical="center" wrapText="1"/>
    </xf>
    <xf numFmtId="0" fontId="60" fillId="0" borderId="0" xfId="0" applyFont="1" applyAlignment="1">
      <alignment vertical="center" wrapText="1"/>
    </xf>
    <xf numFmtId="0" fontId="61" fillId="35" borderId="0" xfId="0" applyFont="1" applyFill="1" applyAlignment="1">
      <alignment vertical="center" wrapText="1"/>
    </xf>
    <xf numFmtId="0" fontId="62" fillId="35" borderId="0" xfId="0" applyFont="1" applyFill="1" applyAlignment="1">
      <alignment horizontal="right" vertical="center" wrapText="1" indent="1"/>
    </xf>
    <xf numFmtId="0" fontId="61" fillId="0" borderId="0" xfId="0" applyFont="1" applyAlignment="1">
      <alignment vertical="center" wrapText="1"/>
    </xf>
    <xf numFmtId="0" fontId="0" fillId="0" borderId="14" xfId="0" applyFont="1" applyBorder="1" applyAlignment="1">
      <alignment horizontal="center" vertical="center" wrapText="1"/>
    </xf>
    <xf numFmtId="0" fontId="0" fillId="36" borderId="12" xfId="0" applyFont="1" applyFill="1" applyBorder="1" applyAlignment="1" applyProtection="1">
      <alignment horizontal="right" vertical="center" wrapText="1"/>
      <protection locked="0"/>
    </xf>
    <xf numFmtId="3" fontId="0" fillId="39" borderId="12" xfId="0" applyNumberFormat="1" applyFont="1" applyFill="1" applyBorder="1" applyAlignment="1" applyProtection="1">
      <alignment horizontal="right" vertical="center" wrapText="1"/>
      <protection locked="0"/>
    </xf>
    <xf numFmtId="49" fontId="0" fillId="0" borderId="12" xfId="0" applyNumberFormat="1" applyFont="1" applyBorder="1" applyAlignment="1">
      <alignment horizontal="center" vertical="center" wrapText="1"/>
    </xf>
    <xf numFmtId="49" fontId="0" fillId="0" borderId="12" xfId="0" applyNumberFormat="1" applyFont="1" applyBorder="1" applyAlignment="1">
      <alignment vertical="top" wrapText="1"/>
    </xf>
    <xf numFmtId="0" fontId="0" fillId="35" borderId="14" xfId="0" applyFont="1" applyFill="1" applyBorder="1" applyAlignment="1">
      <alignment horizontal="left" vertical="center" wrapText="1" indent="1"/>
    </xf>
    <xf numFmtId="0" fontId="0" fillId="35" borderId="17" xfId="0" applyFont="1" applyFill="1" applyBorder="1" applyAlignment="1">
      <alignment horizontal="left" vertical="center" wrapText="1"/>
    </xf>
    <xf numFmtId="0" fontId="0" fillId="35" borderId="12" xfId="0" applyFont="1" applyFill="1" applyBorder="1" applyAlignment="1">
      <alignment horizontal="left" vertical="center" wrapText="1"/>
    </xf>
    <xf numFmtId="0" fontId="0" fillId="35" borderId="12" xfId="0" applyFont="1" applyFill="1" applyBorder="1" applyAlignment="1">
      <alignment horizontal="left" vertical="center" wrapText="1" indent="2"/>
    </xf>
    <xf numFmtId="0" fontId="0" fillId="35" borderId="12" xfId="0" applyFont="1" applyFill="1" applyBorder="1" applyAlignment="1">
      <alignment horizontal="center" vertical="center"/>
    </xf>
    <xf numFmtId="49" fontId="0" fillId="39" borderId="12" xfId="0" applyNumberFormat="1" applyFont="1" applyFill="1" applyBorder="1" applyAlignment="1" applyProtection="1">
      <alignment horizontal="left" vertical="center" wrapText="1"/>
      <protection locked="0"/>
    </xf>
    <xf numFmtId="0" fontId="0" fillId="35" borderId="12" xfId="0" applyFont="1" applyFill="1" applyBorder="1" applyAlignment="1">
      <alignment horizontal="left" vertical="center" wrapText="1" indent="1"/>
    </xf>
    <xf numFmtId="0" fontId="0" fillId="0" borderId="12" xfId="0" applyFont="1" applyBorder="1" applyAlignment="1">
      <alignment horizontal="center" vertical="center" wrapText="1"/>
    </xf>
    <xf numFmtId="0" fontId="0" fillId="35" borderId="12" xfId="0" applyFont="1" applyFill="1" applyBorder="1" applyAlignment="1">
      <alignment vertical="center" wrapText="1"/>
    </xf>
    <xf numFmtId="49" fontId="0" fillId="35" borderId="12" xfId="0" applyNumberFormat="1" applyFont="1" applyFill="1" applyBorder="1" applyAlignment="1">
      <alignment horizontal="center" vertical="center"/>
    </xf>
    <xf numFmtId="0" fontId="0" fillId="35" borderId="12" xfId="0" applyFont="1" applyFill="1" applyBorder="1" applyAlignment="1">
      <alignment horizontal="center" vertical="center" wrapText="1"/>
    </xf>
    <xf numFmtId="0" fontId="23" fillId="0" borderId="0" xfId="0" applyFont="1" applyAlignment="1">
      <alignment vertical="center" wrapText="1"/>
    </xf>
    <xf numFmtId="49" fontId="36" fillId="35" borderId="0" xfId="0" applyNumberFormat="1" applyFont="1" applyFill="1" applyAlignment="1">
      <alignment horizontal="center" vertical="center" wrapText="1"/>
    </xf>
    <xf numFmtId="0" fontId="32" fillId="0" borderId="0" xfId="0" applyFont="1" applyAlignment="1">
      <alignment vertical="center" wrapText="1"/>
    </xf>
    <xf numFmtId="0" fontId="37" fillId="35" borderId="0" xfId="0" applyFont="1" applyFill="1" applyAlignment="1">
      <alignment horizontal="center" vertical="center" wrapText="1"/>
    </xf>
    <xf numFmtId="0" fontId="37" fillId="0" borderId="0" xfId="0" applyFont="1" applyAlignment="1">
      <alignment horizontal="center" vertical="center" wrapText="1"/>
    </xf>
    <xf numFmtId="0" fontId="42" fillId="0" borderId="0" xfId="0" applyFont="1" applyAlignment="1">
      <alignment vertical="center" wrapText="1"/>
    </xf>
    <xf numFmtId="0" fontId="46" fillId="0" borderId="0" xfId="0" applyFont="1" applyAlignment="1">
      <alignment horizontal="center" vertical="center" wrapText="1"/>
    </xf>
    <xf numFmtId="0" fontId="45" fillId="0" borderId="0" xfId="0" applyFont="1" applyAlignment="1">
      <alignment vertical="center" wrapText="1"/>
    </xf>
    <xf numFmtId="0" fontId="0" fillId="35" borderId="0" xfId="0" applyFont="1" applyFill="1"/>
    <xf numFmtId="0" fontId="0" fillId="35" borderId="0" xfId="0" applyFont="1" applyFill="1" applyAlignment="1">
      <alignment horizontal="center"/>
    </xf>
    <xf numFmtId="0" fontId="23" fillId="35" borderId="0" xfId="0" applyFont="1" applyFill="1" applyAlignment="1">
      <alignment vertical="center" wrapText="1"/>
    </xf>
    <xf numFmtId="0" fontId="76" fillId="35" borderId="0" xfId="0" applyFont="1" applyFill="1" applyAlignment="1">
      <alignment horizontal="center"/>
    </xf>
    <xf numFmtId="0" fontId="76" fillId="35" borderId="0" xfId="0" applyFont="1" applyFill="1"/>
    <xf numFmtId="0" fontId="77" fillId="35" borderId="0" xfId="0" applyFont="1" applyFill="1"/>
    <xf numFmtId="0" fontId="78" fillId="35" borderId="0" xfId="0" applyFont="1" applyFill="1" applyAlignment="1">
      <alignment horizontal="right" vertical="center"/>
    </xf>
    <xf numFmtId="0" fontId="78" fillId="35" borderId="0" xfId="0" applyFont="1" applyFill="1" applyAlignment="1">
      <alignment horizontal="right" vertical="top"/>
    </xf>
    <xf numFmtId="0" fontId="23" fillId="35" borderId="0" xfId="0" applyFont="1" applyFill="1" applyAlignment="1">
      <alignment horizontal="center" vertical="center" wrapText="1"/>
    </xf>
    <xf numFmtId="0" fontId="36" fillId="35" borderId="0" xfId="0" applyFont="1" applyFill="1" applyAlignment="1">
      <alignment horizontal="center" vertical="center"/>
    </xf>
    <xf numFmtId="0" fontId="23" fillId="0" borderId="12" xfId="0" applyFont="1" applyBorder="1" applyAlignment="1">
      <alignment horizontal="center" vertical="center" wrapText="1"/>
    </xf>
    <xf numFmtId="0" fontId="45" fillId="0" borderId="0" xfId="0" applyFont="1" applyAlignment="1">
      <alignment vertical="top" wrapText="1"/>
    </xf>
    <xf numFmtId="0" fontId="23" fillId="37" borderId="14" xfId="0" applyFont="1" applyFill="1" applyBorder="1" applyAlignment="1">
      <alignment horizontal="center"/>
    </xf>
    <xf numFmtId="0" fontId="74" fillId="37" borderId="15" xfId="0" applyFont="1" applyFill="1" applyBorder="1" applyAlignment="1">
      <alignment horizontal="left" vertical="center"/>
    </xf>
    <xf numFmtId="0" fontId="74" fillId="37" borderId="13" xfId="0" applyFont="1" applyFill="1" applyBorder="1" applyAlignment="1">
      <alignment horizontal="left" vertical="center"/>
    </xf>
    <xf numFmtId="0" fontId="79" fillId="35" borderId="0" xfId="0" applyFont="1" applyFill="1" applyAlignment="1">
      <alignment vertical="center"/>
    </xf>
    <xf numFmtId="0" fontId="79" fillId="35" borderId="0" xfId="0" applyFont="1" applyFill="1" applyAlignment="1">
      <alignment vertical="center" wrapText="1"/>
    </xf>
    <xf numFmtId="49" fontId="23" fillId="35" borderId="12" xfId="0" applyNumberFormat="1" applyFont="1" applyFill="1" applyBorder="1" applyAlignment="1">
      <alignment horizontal="center" vertical="center" wrapText="1"/>
    </xf>
    <xf numFmtId="0" fontId="23" fillId="35" borderId="12" xfId="0" applyFont="1" applyFill="1" applyBorder="1" applyAlignment="1">
      <alignment horizontal="center" vertical="center" wrapText="1"/>
    </xf>
    <xf numFmtId="0" fontId="23" fillId="35" borderId="12" xfId="0" applyFont="1" applyFill="1" applyBorder="1" applyAlignment="1">
      <alignment vertical="center" wrapText="1"/>
    </xf>
    <xf numFmtId="0" fontId="66" fillId="35" borderId="0" xfId="0" applyFont="1" applyFill="1"/>
    <xf numFmtId="0" fontId="52" fillId="35" borderId="0" xfId="0" applyFont="1" applyFill="1"/>
    <xf numFmtId="0" fontId="62" fillId="35" borderId="0" xfId="0" applyFont="1" applyFill="1"/>
    <xf numFmtId="0" fontId="62" fillId="35" borderId="0" xfId="0" applyFont="1" applyFill="1" applyAlignment="1">
      <alignment horizontal="center"/>
    </xf>
    <xf numFmtId="0" fontId="59" fillId="0" borderId="0" xfId="0" applyFont="1" applyAlignment="1">
      <alignment vertical="center" wrapText="1"/>
    </xf>
    <xf numFmtId="0" fontId="61" fillId="0" borderId="0" xfId="0" applyFont="1" applyAlignment="1">
      <alignment vertical="center" wrapText="1"/>
    </xf>
    <xf numFmtId="0" fontId="61" fillId="35" borderId="0" xfId="0" applyFont="1" applyFill="1" applyAlignment="1">
      <alignment vertical="center" wrapText="1"/>
    </xf>
    <xf numFmtId="0" fontId="61" fillId="35" borderId="0" xfId="0" applyFont="1" applyFill="1" applyAlignment="1">
      <alignment horizontal="right" vertical="center"/>
    </xf>
    <xf numFmtId="0" fontId="61" fillId="35" borderId="0" xfId="0" applyFont="1" applyFill="1" applyAlignment="1">
      <alignment horizontal="right" vertical="center" wrapText="1"/>
    </xf>
    <xf numFmtId="4" fontId="61" fillId="0" borderId="0" xfId="0" applyNumberFormat="1" applyFont="1" applyAlignment="1">
      <alignment horizontal="right" vertical="center" wrapText="1"/>
    </xf>
    <xf numFmtId="0" fontId="61" fillId="0" borderId="0" xfId="0" applyFont="1" applyAlignment="1">
      <alignment horizontal="left" vertical="center" wrapText="1" indent="1"/>
    </xf>
    <xf numFmtId="0" fontId="80" fillId="35" borderId="0" xfId="0" applyFont="1" applyFill="1" applyAlignment="1">
      <alignment horizontal="center" vertical="center" wrapText="1"/>
    </xf>
    <xf numFmtId="0" fontId="36" fillId="35" borderId="0" xfId="0" applyFont="1" applyFill="1" applyAlignment="1">
      <alignment horizontal="center" vertical="center" wrapText="1"/>
    </xf>
    <xf numFmtId="0" fontId="65" fillId="0" borderId="0" xfId="0" applyFont="1" applyAlignment="1">
      <alignment vertical="center" wrapText="1"/>
    </xf>
    <xf numFmtId="0" fontId="48" fillId="0" borderId="0" xfId="0" applyFont="1" applyAlignment="1">
      <alignment vertical="center" wrapText="1"/>
    </xf>
    <xf numFmtId="49" fontId="23" fillId="40" borderId="12" xfId="0" applyNumberFormat="1" applyFont="1" applyFill="1" applyBorder="1" applyAlignment="1">
      <alignment horizontal="left" vertical="center" wrapText="1"/>
    </xf>
    <xf numFmtId="0" fontId="65" fillId="0" borderId="0" xfId="0" applyFont="1" applyAlignment="1">
      <alignment horizontal="center" vertical="center" wrapText="1"/>
    </xf>
    <xf numFmtId="0" fontId="23" fillId="35" borderId="24" xfId="0" applyFont="1" applyFill="1" applyBorder="1" applyAlignment="1">
      <alignment vertical="center" wrapText="1"/>
    </xf>
    <xf numFmtId="49" fontId="36" fillId="35" borderId="15" xfId="0" applyNumberFormat="1" applyFont="1" applyFill="1" applyBorder="1" applyAlignment="1">
      <alignment horizontal="center" vertical="center" wrapText="1"/>
    </xf>
    <xf numFmtId="0" fontId="48" fillId="0" borderId="0" xfId="0" applyFont="1" applyAlignment="1">
      <alignment horizontal="center" vertical="center" wrapText="1"/>
    </xf>
    <xf numFmtId="0" fontId="80" fillId="0" borderId="0" xfId="0" applyFont="1" applyAlignment="1">
      <alignment horizontal="center" vertical="center" wrapText="1"/>
    </xf>
    <xf numFmtId="0" fontId="73" fillId="0" borderId="0" xfId="0" applyFont="1" applyAlignment="1">
      <alignment vertical="center" wrapText="1"/>
    </xf>
    <xf numFmtId="49" fontId="73" fillId="0" borderId="12" xfId="0" applyNumberFormat="1" applyFont="1" applyBorder="1" applyAlignment="1">
      <alignment horizontal="left" vertical="center" wrapText="1"/>
    </xf>
    <xf numFmtId="0" fontId="81" fillId="35" borderId="0" xfId="0" applyFont="1" applyFill="1" applyAlignment="1">
      <alignment horizontal="center" vertical="center" wrapText="1"/>
    </xf>
    <xf numFmtId="49" fontId="73" fillId="0" borderId="17" xfId="0" applyNumberFormat="1" applyFont="1" applyBorder="1" applyAlignment="1">
      <alignment horizontal="left" vertical="center" wrapText="1"/>
    </xf>
    <xf numFmtId="0" fontId="48" fillId="0" borderId="0" xfId="0" applyFont="1" applyAlignment="1">
      <alignment vertical="center"/>
    </xf>
    <xf numFmtId="0" fontId="48" fillId="35" borderId="0" xfId="0" applyFont="1" applyFill="1"/>
    <xf numFmtId="0" fontId="48" fillId="35" borderId="0" xfId="0" applyFont="1" applyFill="1" applyAlignment="1">
      <alignment vertical="center" wrapText="1"/>
    </xf>
    <xf numFmtId="0" fontId="48" fillId="0" borderId="0" xfId="0" applyFont="1" applyAlignment="1">
      <alignment vertical="center" wrapText="1"/>
    </xf>
    <xf numFmtId="49" fontId="23" fillId="0" borderId="0" xfId="0" applyNumberFormat="1" applyFont="1" applyAlignment="1">
      <alignment vertical="top"/>
    </xf>
    <xf numFmtId="0" fontId="23" fillId="0" borderId="0" xfId="0" applyFont="1" applyAlignment="1">
      <alignment vertical="center" wrapText="1"/>
    </xf>
    <xf numFmtId="0" fontId="37" fillId="35" borderId="0" xfId="0" applyFont="1" applyFill="1" applyAlignment="1">
      <alignment horizontal="center" vertical="center" wrapText="1"/>
    </xf>
    <xf numFmtId="0" fontId="42" fillId="0" borderId="0" xfId="0" applyFont="1" applyAlignment="1">
      <alignment vertical="center" wrapText="1"/>
    </xf>
    <xf numFmtId="49" fontId="23" fillId="0" borderId="12" xfId="0" applyNumberFormat="1" applyFont="1" applyBorder="1" applyAlignment="1">
      <alignment horizontal="left" vertical="center" wrapText="1"/>
    </xf>
    <xf numFmtId="0" fontId="23" fillId="0" borderId="0" xfId="0" applyFont="1" applyAlignment="1">
      <alignment vertical="center" wrapText="1"/>
    </xf>
    <xf numFmtId="49" fontId="48" fillId="0" borderId="0" xfId="0" applyNumberFormat="1" applyFont="1" applyAlignment="1">
      <alignment vertical="center" wrapText="1"/>
    </xf>
    <xf numFmtId="0" fontId="48" fillId="0" borderId="0" xfId="0" applyFont="1" applyAlignment="1">
      <alignment vertical="center" wrapText="1"/>
    </xf>
    <xf numFmtId="0" fontId="23" fillId="0" borderId="12" xfId="0" applyFont="1" applyBorder="1" applyAlignment="1">
      <alignment horizontal="center" vertical="center" wrapText="1"/>
    </xf>
    <xf numFmtId="14" fontId="23" fillId="37" borderId="15" xfId="0" applyNumberFormat="1" applyFont="1" applyFill="1" applyBorder="1" applyAlignment="1">
      <alignment horizontal="center" vertical="center" wrapText="1"/>
    </xf>
    <xf numFmtId="49" fontId="23" fillId="37" borderId="15" xfId="0" applyNumberFormat="1" applyFont="1" applyFill="1" applyBorder="1" applyAlignment="1">
      <alignment horizontal="center" vertical="center" wrapText="1"/>
    </xf>
    <xf numFmtId="14" fontId="82" fillId="37" borderId="15" xfId="0" applyNumberFormat="1" applyFont="1" applyFill="1" applyBorder="1" applyAlignment="1">
      <alignment horizontal="center" vertical="center" wrapText="1"/>
    </xf>
    <xf numFmtId="0" fontId="48" fillId="0" borderId="0" xfId="0" applyFont="1" applyAlignment="1">
      <alignment horizontal="left" vertical="center" wrapText="1"/>
    </xf>
    <xf numFmtId="49" fontId="48" fillId="0" borderId="0" xfId="0" applyNumberFormat="1" applyFont="1" applyAlignment="1">
      <alignment horizontal="left" vertical="center" wrapText="1"/>
    </xf>
    <xf numFmtId="0" fontId="48" fillId="0" borderId="0" xfId="0" applyFont="1" applyAlignment="1">
      <alignment vertical="center" wrapText="1"/>
    </xf>
    <xf numFmtId="49" fontId="54" fillId="0" borderId="12" xfId="0" applyNumberFormat="1" applyFont="1" applyBorder="1" applyAlignment="1">
      <alignment horizontal="left" vertical="center" wrapText="1"/>
    </xf>
    <xf numFmtId="14" fontId="23" fillId="40" borderId="12" xfId="0" applyNumberFormat="1" applyFont="1" applyFill="1" applyBorder="1" applyAlignment="1">
      <alignment horizontal="center" vertical="center" wrapText="1"/>
    </xf>
    <xf numFmtId="0" fontId="23" fillId="0" borderId="12" xfId="0" applyFont="1" applyBorder="1" applyAlignment="1">
      <alignment horizontal="center" vertical="center" wrapText="1"/>
    </xf>
    <xf numFmtId="0" fontId="23" fillId="0" borderId="0" xfId="0" applyFont="1" applyAlignment="1">
      <alignment horizontal="center" vertical="center" wrapText="1"/>
    </xf>
    <xf numFmtId="0" fontId="23" fillId="0" borderId="12" xfId="0" applyFont="1" applyBorder="1" applyAlignment="1">
      <alignment horizontal="center" vertical="center" wrapText="1"/>
    </xf>
    <xf numFmtId="49" fontId="23" fillId="40" borderId="12" xfId="0" applyNumberFormat="1" applyFont="1" applyFill="1" applyBorder="1" applyAlignment="1">
      <alignment horizontal="center" vertical="center" wrapText="1"/>
    </xf>
    <xf numFmtId="0" fontId="83" fillId="0" borderId="0" xfId="0" applyFont="1" applyAlignment="1">
      <alignment horizontal="center" vertical="center" wrapText="1"/>
    </xf>
    <xf numFmtId="0" fontId="37" fillId="0" borderId="0" xfId="0" applyFont="1" applyAlignment="1">
      <alignment horizontal="center" vertical="center" wrapText="1"/>
    </xf>
    <xf numFmtId="49" fontId="23" fillId="0" borderId="12" xfId="0" applyNumberFormat="1" applyFont="1" applyBorder="1" applyAlignment="1">
      <alignment horizontal="center" vertical="center" wrapText="1"/>
    </xf>
    <xf numFmtId="0" fontId="0" fillId="35" borderId="14" xfId="0" applyFont="1" applyFill="1" applyBorder="1" applyAlignment="1">
      <alignment horizontal="left" vertical="center" wrapText="1"/>
    </xf>
    <xf numFmtId="49" fontId="50" fillId="37" borderId="15" xfId="0" applyNumberFormat="1" applyFont="1" applyFill="1" applyBorder="1" applyAlignment="1">
      <alignment horizontal="center" vertical="center"/>
    </xf>
    <xf numFmtId="0" fontId="33" fillId="0" borderId="0" xfId="0" applyFont="1" applyAlignment="1">
      <alignment vertical="center" wrapText="1"/>
    </xf>
    <xf numFmtId="0" fontId="32" fillId="0" borderId="0" xfId="0" applyFont="1" applyAlignment="1">
      <alignment horizontal="center" vertical="center" wrapText="1"/>
    </xf>
    <xf numFmtId="0" fontId="23" fillId="0" borderId="0" xfId="0" applyFont="1" applyAlignment="1">
      <alignment horizontal="center" vertical="center" wrapText="1"/>
    </xf>
    <xf numFmtId="0" fontId="23" fillId="0" borderId="0" xfId="0" applyFont="1" applyAlignment="1">
      <alignment vertical="center" wrapText="1"/>
    </xf>
    <xf numFmtId="0" fontId="47" fillId="0" borderId="0" xfId="0" applyFont="1" applyAlignment="1">
      <alignment horizontal="center" vertical="center" wrapText="1"/>
    </xf>
    <xf numFmtId="0" fontId="84" fillId="0" borderId="0" xfId="0" applyFont="1" applyAlignment="1">
      <alignment vertical="center" wrapText="1"/>
    </xf>
    <xf numFmtId="49" fontId="47" fillId="0" borderId="0" xfId="0" applyNumberFormat="1" applyFont="1" applyAlignment="1">
      <alignment horizontal="center" vertical="center" wrapText="1"/>
    </xf>
    <xf numFmtId="0" fontId="47" fillId="0" borderId="0" xfId="0" applyFont="1" applyAlignment="1">
      <alignment vertical="center" wrapText="1"/>
    </xf>
    <xf numFmtId="49" fontId="23" fillId="0" borderId="0" xfId="0" applyNumberFormat="1" applyFont="1" applyAlignment="1">
      <alignment horizontal="center" vertical="top" wrapText="1"/>
    </xf>
    <xf numFmtId="49" fontId="23" fillId="0" borderId="12" xfId="0" applyNumberFormat="1" applyFont="1" applyBorder="1" applyAlignment="1">
      <alignment horizontal="center" vertical="center" wrapText="1"/>
    </xf>
    <xf numFmtId="49" fontId="23" fillId="39" borderId="12" xfId="0" applyNumberFormat="1" applyFont="1" applyFill="1" applyBorder="1" applyAlignment="1" applyProtection="1">
      <alignment vertical="center" wrapText="1"/>
      <protection locked="0"/>
    </xf>
    <xf numFmtId="4" fontId="23" fillId="36" borderId="12" xfId="0" applyNumberFormat="1" applyFont="1" applyFill="1" applyBorder="1" applyAlignment="1" applyProtection="1">
      <alignment horizontal="right" vertical="center" wrapText="1"/>
      <protection locked="0"/>
    </xf>
    <xf numFmtId="0" fontId="23" fillId="0" borderId="13" xfId="0" applyFont="1" applyBorder="1" applyAlignment="1">
      <alignment vertical="top" wrapText="1"/>
    </xf>
    <xf numFmtId="0" fontId="85" fillId="0" borderId="0" xfId="0" applyFont="1" applyAlignment="1">
      <alignment vertical="center" wrapText="1"/>
    </xf>
    <xf numFmtId="0" fontId="55" fillId="0" borderId="0" xfId="0" applyFont="1" applyAlignment="1">
      <alignment vertical="center" wrapText="1"/>
    </xf>
    <xf numFmtId="178" fontId="23" fillId="36" borderId="12" xfId="0" applyNumberFormat="1" applyFont="1" applyFill="1" applyBorder="1" applyAlignment="1" applyProtection="1">
      <alignment horizontal="right" vertical="center" wrapText="1"/>
      <protection locked="0"/>
    </xf>
    <xf numFmtId="0" fontId="23" fillId="0" borderId="28" xfId="0" applyFont="1" applyBorder="1" applyAlignment="1">
      <alignment horizontal="center" vertical="center" wrapText="1"/>
    </xf>
    <xf numFmtId="0" fontId="23" fillId="39" borderId="12" xfId="0" applyFont="1" applyFill="1" applyBorder="1" applyAlignment="1" applyProtection="1">
      <alignment horizontal="left" vertical="center" wrapText="1" indent="2"/>
      <protection locked="0"/>
    </xf>
    <xf numFmtId="49" fontId="48" fillId="0" borderId="0" xfId="0" applyNumberFormat="1" applyFont="1" applyAlignment="1">
      <alignment horizontal="center" vertical="center" wrapText="1"/>
    </xf>
    <xf numFmtId="0" fontId="48" fillId="0" borderId="28" xfId="0" applyFont="1" applyBorder="1" applyAlignment="1">
      <alignment horizontal="center" vertical="center" wrapText="1"/>
    </xf>
    <xf numFmtId="0" fontId="48" fillId="0" borderId="12" xfId="0" applyFont="1" applyBorder="1" applyAlignment="1">
      <alignment horizontal="left" vertical="center" wrapText="1" indent="2"/>
    </xf>
    <xf numFmtId="0" fontId="48" fillId="0" borderId="12" xfId="0" applyFont="1" applyBorder="1" applyAlignment="1">
      <alignment horizontal="center" vertical="center" wrapText="1"/>
    </xf>
    <xf numFmtId="0" fontId="48" fillId="0" borderId="12" xfId="0" applyFont="1" applyBorder="1" applyAlignment="1">
      <alignment vertical="center" wrapText="1"/>
    </xf>
    <xf numFmtId="0" fontId="23" fillId="0" borderId="12" xfId="0" applyFont="1" applyBorder="1" applyAlignment="1">
      <alignment horizontal="left" vertical="center" wrapText="1" indent="3"/>
    </xf>
    <xf numFmtId="49" fontId="23" fillId="39" borderId="12" xfId="0" applyNumberFormat="1" applyFont="1" applyFill="1" applyBorder="1" applyAlignment="1" applyProtection="1">
      <alignment horizontal="center" vertical="center" wrapText="1"/>
      <protection locked="0"/>
    </xf>
    <xf numFmtId="0" fontId="23" fillId="36" borderId="12" xfId="0" applyFont="1" applyFill="1" applyBorder="1" applyAlignment="1" applyProtection="1">
      <alignment horizontal="left" vertical="center" wrapText="1"/>
      <protection locked="0"/>
    </xf>
    <xf numFmtId="0" fontId="46" fillId="0" borderId="0" xfId="0" applyFont="1" applyAlignment="1">
      <alignment vertical="center" wrapText="1"/>
    </xf>
    <xf numFmtId="4" fontId="23" fillId="39" borderId="12" xfId="0" applyNumberFormat="1" applyFont="1" applyFill="1" applyBorder="1" applyAlignment="1" applyProtection="1">
      <alignment horizontal="right" vertical="center" wrapText="1"/>
      <protection locked="0"/>
    </xf>
    <xf numFmtId="4" fontId="23" fillId="34" borderId="12" xfId="0" applyNumberFormat="1" applyFont="1" applyFill="1" applyBorder="1" applyAlignment="1">
      <alignment horizontal="right" vertical="center" wrapText="1"/>
    </xf>
    <xf numFmtId="0" fontId="23" fillId="0" borderId="12" xfId="0" applyFont="1" applyBorder="1" applyAlignment="1">
      <alignment horizontal="left" vertical="center" wrapText="1" indent="1"/>
    </xf>
    <xf numFmtId="49" fontId="73" fillId="0" borderId="0" xfId="0" applyNumberFormat="1" applyFont="1" applyAlignment="1">
      <alignment horizontal="center" vertical="center" wrapText="1"/>
    </xf>
    <xf numFmtId="49" fontId="73" fillId="0" borderId="28" xfId="0" applyNumberFormat="1" applyFont="1" applyBorder="1" applyAlignment="1">
      <alignment horizontal="center" vertical="center" wrapText="1"/>
    </xf>
    <xf numFmtId="0" fontId="73" fillId="0" borderId="12" xfId="0" applyFont="1" applyBorder="1" applyAlignment="1">
      <alignment horizontal="left" vertical="center" wrapText="1" indent="2"/>
    </xf>
    <xf numFmtId="0" fontId="73" fillId="0" borderId="12" xfId="0" applyFont="1" applyBorder="1" applyAlignment="1">
      <alignment horizontal="center" vertical="center" wrapText="1"/>
    </xf>
    <xf numFmtId="0" fontId="73" fillId="0" borderId="12" xfId="0" applyFont="1" applyBorder="1" applyAlignment="1">
      <alignment vertical="center" wrapText="1"/>
    </xf>
    <xf numFmtId="0" fontId="86" fillId="0" borderId="0" xfId="0" applyFont="1" applyAlignment="1">
      <alignment vertical="center" wrapText="1"/>
    </xf>
    <xf numFmtId="0" fontId="64" fillId="0" borderId="0" xfId="0" applyFont="1" applyAlignment="1">
      <alignment vertical="center" wrapText="1"/>
    </xf>
    <xf numFmtId="0" fontId="73" fillId="0" borderId="28" xfId="0" applyFont="1" applyBorder="1" applyAlignment="1">
      <alignment horizontal="center" vertical="center" wrapText="1"/>
    </xf>
    <xf numFmtId="0" fontId="73" fillId="0" borderId="12" xfId="0" applyFont="1" applyBorder="1" applyAlignment="1">
      <alignment horizontal="left" vertical="center" wrapText="1" indent="3"/>
    </xf>
    <xf numFmtId="4" fontId="73" fillId="0" borderId="12" xfId="0" applyNumberFormat="1" applyFont="1" applyBorder="1" applyAlignment="1">
      <alignment horizontal="right" vertical="center" wrapText="1"/>
    </xf>
    <xf numFmtId="49" fontId="23" fillId="37" borderId="14" xfId="0" applyNumberFormat="1" applyFont="1" applyFill="1" applyBorder="1" applyAlignment="1">
      <alignment vertical="center" wrapText="1"/>
    </xf>
    <xf numFmtId="49" fontId="40" fillId="37" borderId="15" xfId="0" applyNumberFormat="1" applyFont="1" applyFill="1" applyBorder="1" applyAlignment="1">
      <alignment horizontal="left" vertical="center" indent="2"/>
    </xf>
    <xf numFmtId="0" fontId="23" fillId="37" borderId="15" xfId="0" applyFont="1" applyFill="1" applyBorder="1" applyAlignment="1">
      <alignment vertical="center" wrapText="1"/>
    </xf>
    <xf numFmtId="0" fontId="47" fillId="37" borderId="13" xfId="0" applyFont="1" applyFill="1" applyBorder="1" applyAlignment="1">
      <alignment vertical="center" wrapText="1"/>
    </xf>
    <xf numFmtId="14" fontId="23" fillId="0" borderId="0" xfId="0" applyNumberFormat="1" applyFont="1" applyAlignment="1">
      <alignment horizontal="center" vertical="center" wrapText="1"/>
    </xf>
    <xf numFmtId="49" fontId="50" fillId="0" borderId="0" xfId="0" applyNumberFormat="1" applyFont="1" applyAlignment="1">
      <alignment horizontal="center" vertical="center"/>
    </xf>
    <xf numFmtId="0" fontId="23" fillId="0" borderId="12" xfId="0" applyFont="1" applyBorder="1" applyAlignment="1">
      <alignment horizontal="left" vertical="center" wrapText="1" indent="2"/>
    </xf>
    <xf numFmtId="178" fontId="23" fillId="39" borderId="12" xfId="0" applyNumberFormat="1" applyFont="1" applyFill="1" applyBorder="1" applyAlignment="1" applyProtection="1">
      <alignment horizontal="right" vertical="center" wrapText="1"/>
      <protection locked="0"/>
    </xf>
    <xf numFmtId="0" fontId="23" fillId="0" borderId="17" xfId="0" applyFont="1" applyBorder="1" applyAlignment="1">
      <alignment horizontal="center" vertical="center" wrapText="1"/>
    </xf>
    <xf numFmtId="4" fontId="23" fillId="34" borderId="17" xfId="0" applyNumberFormat="1" applyFont="1" applyFill="1" applyBorder="1" applyAlignment="1">
      <alignment horizontal="right" vertical="center" wrapText="1"/>
    </xf>
    <xf numFmtId="49" fontId="40" fillId="37" borderId="15" xfId="0" applyNumberFormat="1" applyFont="1" applyFill="1" applyBorder="1" applyAlignment="1">
      <alignment horizontal="left" vertical="center" indent="1"/>
    </xf>
    <xf numFmtId="0" fontId="23" fillId="0" borderId="0" xfId="0" applyFont="1" applyAlignment="1">
      <alignment horizontal="left" vertical="center" wrapText="1"/>
    </xf>
    <xf numFmtId="0" fontId="23" fillId="0" borderId="0" xfId="0" applyFont="1" applyAlignment="1">
      <alignment vertical="center"/>
    </xf>
    <xf numFmtId="0" fontId="0" fillId="0" borderId="0" xfId="0" applyFont="1" applyAlignment="1">
      <alignment vertical="center"/>
    </xf>
    <xf numFmtId="0" fontId="47" fillId="0" borderId="0" xfId="0" applyFont="1" applyAlignment="1">
      <alignment vertical="center"/>
    </xf>
    <xf numFmtId="0" fontId="23" fillId="0" borderId="0" xfId="0" applyFont="1" applyAlignment="1">
      <alignment vertical="center"/>
    </xf>
    <xf numFmtId="0" fontId="87" fillId="0" borderId="0" xfId="0" applyFont="1" applyAlignment="1">
      <alignment vertical="center"/>
    </xf>
    <xf numFmtId="0" fontId="41" fillId="0" borderId="0" xfId="0" applyFont="1" applyAlignment="1">
      <alignment vertical="center"/>
    </xf>
    <xf numFmtId="0" fontId="23" fillId="0" borderId="0" xfId="0" applyFont="1" applyAlignment="1">
      <alignment vertical="center" wrapText="1"/>
    </xf>
    <xf numFmtId="0" fontId="41" fillId="0" borderId="0" xfId="0" applyFont="1" applyAlignment="1">
      <alignment vertical="center"/>
    </xf>
    <xf numFmtId="0" fontId="87" fillId="0" borderId="0" xfId="0" applyFont="1" applyAlignment="1">
      <alignment vertical="center"/>
    </xf>
    <xf numFmtId="0" fontId="53" fillId="0" borderId="0" xfId="0" applyFont="1" applyAlignment="1">
      <alignment vertical="center"/>
    </xf>
    <xf numFmtId="0" fontId="23" fillId="0" borderId="0" xfId="0" applyFont="1" applyAlignment="1">
      <alignment horizontal="center" vertical="center" wrapText="1"/>
    </xf>
    <xf numFmtId="49" fontId="36" fillId="0" borderId="0" xfId="0" applyNumberFormat="1" applyFont="1" applyAlignment="1">
      <alignment horizontal="center" vertical="center" wrapText="1"/>
    </xf>
    <xf numFmtId="49" fontId="36" fillId="0" borderId="12" xfId="0" applyNumberFormat="1" applyFont="1" applyBorder="1" applyAlignment="1">
      <alignment horizontal="center" vertical="center" wrapText="1"/>
    </xf>
    <xf numFmtId="0" fontId="47" fillId="0" borderId="0" xfId="0" applyFont="1" applyAlignment="1">
      <alignment vertical="center"/>
    </xf>
    <xf numFmtId="0" fontId="0" fillId="0" borderId="0" xfId="0" applyFont="1" applyAlignment="1">
      <alignment vertical="center"/>
    </xf>
    <xf numFmtId="0" fontId="48" fillId="0" borderId="0" xfId="0" applyFont="1" applyAlignment="1">
      <alignment horizontal="center" vertical="center"/>
    </xf>
    <xf numFmtId="0" fontId="23" fillId="0" borderId="0" xfId="0" applyFont="1" applyAlignment="1">
      <alignment horizontal="center" vertical="center" wrapText="1"/>
    </xf>
    <xf numFmtId="0" fontId="23" fillId="37" borderId="14" xfId="0" applyFont="1" applyFill="1" applyBorder="1" applyAlignment="1">
      <alignment horizontal="center" vertical="center" wrapText="1"/>
    </xf>
    <xf numFmtId="49" fontId="23" fillId="37" borderId="15" xfId="0" applyNumberFormat="1" applyFont="1" applyFill="1" applyBorder="1" applyAlignment="1">
      <alignment horizontal="center" vertical="center" wrapText="1"/>
    </xf>
    <xf numFmtId="0" fontId="0" fillId="37" borderId="13" xfId="0" applyFont="1" applyFill="1" applyBorder="1" applyAlignment="1">
      <alignment vertical="center"/>
    </xf>
    <xf numFmtId="49" fontId="23" fillId="0" borderId="17" xfId="0" applyNumberFormat="1" applyFont="1" applyBorder="1" applyAlignment="1">
      <alignment horizontal="center" vertical="center" wrapText="1"/>
    </xf>
    <xf numFmtId="49" fontId="76" fillId="0" borderId="12" xfId="0" applyNumberFormat="1" applyFont="1" applyBorder="1" applyAlignment="1">
      <alignment horizontal="left" vertical="center" wrapText="1" indent="1"/>
    </xf>
    <xf numFmtId="0" fontId="47" fillId="0" borderId="0" xfId="0" applyFont="1" applyAlignment="1">
      <alignment vertical="center"/>
    </xf>
    <xf numFmtId="0" fontId="75" fillId="0" borderId="0" xfId="0" applyFont="1" applyAlignment="1">
      <alignment vertical="center"/>
    </xf>
    <xf numFmtId="0" fontId="0" fillId="0" borderId="0" xfId="0" applyFont="1" applyAlignment="1">
      <alignment vertical="center"/>
    </xf>
    <xf numFmtId="49" fontId="40" fillId="37" borderId="13" xfId="0" applyNumberFormat="1" applyFont="1" applyFill="1" applyBorder="1" applyAlignment="1">
      <alignment horizontal="left" vertical="center" indent="1"/>
    </xf>
    <xf numFmtId="49" fontId="50" fillId="37" borderId="13" xfId="0" applyNumberFormat="1" applyFont="1" applyFill="1" applyBorder="1" applyAlignment="1">
      <alignment horizontal="right" vertical="center" wrapText="1"/>
    </xf>
    <xf numFmtId="0" fontId="76" fillId="42" borderId="0" xfId="0" applyFont="1" applyFill="1" applyAlignment="1">
      <alignment vertical="top"/>
    </xf>
    <xf numFmtId="49" fontId="32" fillId="0" borderId="0" xfId="0" applyNumberFormat="1" applyFont="1" applyAlignment="1">
      <alignment horizontal="center" vertical="center" wrapText="1"/>
    </xf>
    <xf numFmtId="0" fontId="48" fillId="0" borderId="0" xfId="0" applyFont="1" applyAlignment="1">
      <alignment vertical="center" wrapText="1"/>
    </xf>
    <xf numFmtId="0" fontId="32" fillId="0" borderId="0" xfId="0" applyFont="1" applyAlignment="1">
      <alignment vertical="center" wrapText="1"/>
    </xf>
    <xf numFmtId="0" fontId="23" fillId="0" borderId="0" xfId="0" applyFont="1" applyAlignment="1">
      <alignment horizontal="center" vertical="center" wrapText="1"/>
    </xf>
    <xf numFmtId="0" fontId="50" fillId="0" borderId="0" xfId="0" applyFont="1" applyAlignment="1">
      <alignment horizontal="center" vertical="center" wrapText="1"/>
    </xf>
    <xf numFmtId="49" fontId="32" fillId="0" borderId="0" xfId="0" applyNumberFormat="1" applyFont="1" applyAlignment="1">
      <alignment horizontal="center" vertical="center" wrapText="1"/>
    </xf>
    <xf numFmtId="4" fontId="23" fillId="0" borderId="0" xfId="0" applyNumberFormat="1" applyFont="1" applyAlignment="1">
      <alignment horizontal="right" vertical="center" wrapText="1"/>
    </xf>
    <xf numFmtId="9" fontId="50" fillId="0" borderId="0" xfId="0" applyNumberFormat="1" applyFont="1" applyAlignment="1">
      <alignment horizontal="center" vertical="center" wrapText="1"/>
    </xf>
    <xf numFmtId="0" fontId="72" fillId="0" borderId="0" xfId="0" applyFont="1" applyAlignment="1">
      <alignment vertical="center" wrapText="1"/>
    </xf>
    <xf numFmtId="0" fontId="48" fillId="0" borderId="0" xfId="0" applyFont="1" applyAlignment="1">
      <alignment vertical="center" wrapText="1"/>
    </xf>
    <xf numFmtId="0" fontId="32" fillId="0" borderId="0" xfId="0" applyFont="1" applyAlignment="1">
      <alignment vertical="center" wrapText="1"/>
    </xf>
    <xf numFmtId="49" fontId="64" fillId="0" borderId="0" xfId="0" applyNumberFormat="1" applyFont="1" applyAlignment="1">
      <alignment horizontal="center" vertical="center" wrapText="1"/>
    </xf>
    <xf numFmtId="0" fontId="64" fillId="0" borderId="0" xfId="0" applyFont="1" applyAlignment="1">
      <alignment vertical="center" wrapText="1"/>
    </xf>
    <xf numFmtId="0" fontId="0" fillId="0" borderId="0" xfId="0" applyFont="1" applyAlignment="1">
      <alignment vertical="top"/>
    </xf>
    <xf numFmtId="49" fontId="0" fillId="0" borderId="0" xfId="0" applyNumberFormat="1" applyFont="1" applyAlignment="1">
      <alignment vertical="top"/>
    </xf>
    <xf numFmtId="49" fontId="48" fillId="0" borderId="0" xfId="0" applyNumberFormat="1" applyFont="1" applyAlignment="1">
      <alignment vertical="top"/>
    </xf>
    <xf numFmtId="49" fontId="47" fillId="0" borderId="0" xfId="0" applyNumberFormat="1" applyFont="1" applyAlignment="1">
      <alignment vertical="top"/>
    </xf>
    <xf numFmtId="49" fontId="48" fillId="0" borderId="0" xfId="0" applyNumberFormat="1" applyFont="1" applyAlignment="1">
      <alignment vertical="top"/>
    </xf>
    <xf numFmtId="49" fontId="47" fillId="0" borderId="0" xfId="0" applyNumberFormat="1" applyFont="1" applyAlignment="1">
      <alignment vertical="top"/>
    </xf>
    <xf numFmtId="49" fontId="47" fillId="0" borderId="0" xfId="0" applyNumberFormat="1" applyFont="1" applyAlignment="1">
      <alignment vertical="top"/>
    </xf>
    <xf numFmtId="0" fontId="47" fillId="0" borderId="0" xfId="0" applyFont="1" applyAlignment="1">
      <alignment vertical="top"/>
    </xf>
    <xf numFmtId="0" fontId="75" fillId="0" borderId="0" xfId="0" applyFont="1" applyAlignment="1">
      <alignment vertical="top"/>
    </xf>
    <xf numFmtId="0" fontId="88" fillId="0" borderId="0" xfId="0" applyFont="1" applyAlignment="1">
      <alignment vertical="top"/>
    </xf>
    <xf numFmtId="0" fontId="47" fillId="0" borderId="0" xfId="0" applyFont="1" applyAlignment="1">
      <alignment horizontal="center" vertical="center" wrapText="1"/>
    </xf>
    <xf numFmtId="0" fontId="48" fillId="0" borderId="0" xfId="0" applyFont="1" applyAlignment="1">
      <alignment horizontal="center" vertical="center" wrapText="1"/>
    </xf>
    <xf numFmtId="0" fontId="48" fillId="0" borderId="12" xfId="0" applyFont="1" applyBorder="1" applyAlignment="1">
      <alignment horizontal="left" vertical="center" wrapText="1"/>
    </xf>
    <xf numFmtId="0" fontId="48" fillId="0" borderId="12" xfId="0" applyFont="1" applyBorder="1" applyAlignment="1">
      <alignment vertical="center" wrapText="1"/>
    </xf>
    <xf numFmtId="49" fontId="0" fillId="0" borderId="13" xfId="0" applyNumberFormat="1" applyFont="1" applyBorder="1" applyAlignment="1">
      <alignment horizontal="center" vertical="center" wrapText="1"/>
    </xf>
    <xf numFmtId="49" fontId="0" fillId="0" borderId="12" xfId="0" applyNumberFormat="1" applyFont="1" applyBorder="1" applyAlignment="1">
      <alignment horizontal="center" vertical="center"/>
    </xf>
    <xf numFmtId="4" fontId="0" fillId="34" borderId="12" xfId="0" applyNumberFormat="1" applyFont="1" applyFill="1" applyBorder="1" applyAlignment="1">
      <alignment horizontal="right" vertical="center" wrapText="1"/>
    </xf>
    <xf numFmtId="0" fontId="0" fillId="0" borderId="12" xfId="0" applyFont="1" applyBorder="1" applyAlignment="1">
      <alignment vertical="center" wrapText="1"/>
    </xf>
    <xf numFmtId="49" fontId="0" fillId="0" borderId="29" xfId="0" applyNumberFormat="1" applyFont="1" applyBorder="1" applyAlignment="1">
      <alignment horizontal="center" vertical="center" wrapText="1"/>
    </xf>
    <xf numFmtId="4" fontId="0" fillId="39" borderId="12" xfId="0" applyNumberFormat="1" applyFont="1" applyFill="1" applyBorder="1" applyAlignment="1" applyProtection="1">
      <alignment horizontal="right" vertical="center" wrapText="1"/>
      <protection locked="0"/>
    </xf>
    <xf numFmtId="49" fontId="0" fillId="39" borderId="12" xfId="0" applyNumberFormat="1" applyFont="1" applyFill="1" applyBorder="1" applyAlignment="1" applyProtection="1">
      <alignment horizontal="center" vertical="center" wrapText="1"/>
      <protection locked="0"/>
    </xf>
    <xf numFmtId="4" fontId="47" fillId="0" borderId="12" xfId="0" applyNumberFormat="1" applyFont="1" applyBorder="1" applyAlignment="1">
      <alignment horizontal="right" vertical="center" wrapText="1"/>
    </xf>
    <xf numFmtId="49" fontId="0" fillId="37" borderId="30" xfId="0" applyNumberFormat="1" applyFont="1" applyFill="1" applyBorder="1" applyAlignment="1">
      <alignment horizontal="center" vertical="center"/>
    </xf>
    <xf numFmtId="49" fontId="0" fillId="37" borderId="15" xfId="0" applyNumberFormat="1" applyFont="1" applyFill="1" applyBorder="1" applyAlignment="1">
      <alignment horizontal="center" vertical="center"/>
    </xf>
    <xf numFmtId="49" fontId="40" fillId="37" borderId="15" xfId="0" applyNumberFormat="1" applyFont="1" applyFill="1" applyBorder="1" applyAlignment="1">
      <alignment horizontal="left" vertical="center"/>
    </xf>
    <xf numFmtId="49" fontId="40" fillId="37" borderId="13" xfId="0" applyNumberFormat="1" applyFont="1" applyFill="1" applyBorder="1" applyAlignment="1">
      <alignment horizontal="left" vertical="center" indent="1"/>
    </xf>
    <xf numFmtId="49" fontId="40" fillId="37" borderId="14" xfId="0" applyNumberFormat="1" applyFont="1" applyFill="1" applyBorder="1" applyAlignment="1">
      <alignment horizontal="left" vertical="center"/>
    </xf>
    <xf numFmtId="49" fontId="40" fillId="37" borderId="15" xfId="0" applyNumberFormat="1" applyFont="1" applyFill="1" applyBorder="1" applyAlignment="1">
      <alignment horizontal="left" vertical="center" indent="1"/>
    </xf>
    <xf numFmtId="49" fontId="40" fillId="37" borderId="15" xfId="0" applyNumberFormat="1" applyFont="1" applyFill="1" applyBorder="1" applyAlignment="1">
      <alignment horizontal="left" vertical="center"/>
    </xf>
    <xf numFmtId="49" fontId="40" fillId="37" borderId="13" xfId="0" applyNumberFormat="1" applyFont="1" applyFill="1" applyBorder="1" applyAlignment="1">
      <alignment horizontal="left" vertical="center" indent="1"/>
    </xf>
    <xf numFmtId="0" fontId="40" fillId="0" borderId="12" xfId="0" applyFont="1" applyBorder="1" applyAlignment="1">
      <alignment horizontal="left" vertical="center" indent="1"/>
    </xf>
    <xf numFmtId="0" fontId="23" fillId="0" borderId="0" xfId="0" applyFont="1" applyAlignment="1">
      <alignment horizontal="right" vertical="center" wrapText="1"/>
    </xf>
    <xf numFmtId="0" fontId="0" fillId="0" borderId="0" xfId="0" applyFont="1" applyAlignment="1">
      <alignment vertical="center"/>
    </xf>
    <xf numFmtId="0" fontId="45" fillId="0" borderId="0" xfId="0" applyFont="1" applyAlignment="1">
      <alignment horizontal="right" vertical="top" wrapText="1"/>
    </xf>
    <xf numFmtId="0" fontId="23" fillId="0" borderId="0" xfId="0" applyFont="1" applyAlignment="1">
      <alignment vertical="top" wrapText="1"/>
    </xf>
    <xf numFmtId="0" fontId="23" fillId="0" borderId="0" xfId="0" applyFont="1" applyAlignment="1">
      <alignment horizontal="left" vertical="top" wrapText="1"/>
    </xf>
    <xf numFmtId="0" fontId="36" fillId="0" borderId="0" xfId="0" applyFont="1" applyAlignment="1">
      <alignment horizontal="center" vertical="center" wrapText="1"/>
    </xf>
    <xf numFmtId="4" fontId="23" fillId="0" borderId="12" xfId="0" applyNumberFormat="1" applyFont="1" applyBorder="1" applyAlignment="1">
      <alignment horizontal="center" vertical="center" wrapText="1"/>
    </xf>
    <xf numFmtId="49" fontId="54" fillId="36" borderId="14" xfId="0" applyNumberFormat="1" applyFont="1" applyFill="1" applyBorder="1" applyAlignment="1" applyProtection="1">
      <alignment horizontal="left" vertical="center" wrapText="1"/>
      <protection locked="0"/>
    </xf>
    <xf numFmtId="49" fontId="54" fillId="36" borderId="14" xfId="0" applyNumberFormat="1" applyFont="1" applyFill="1" applyBorder="1" applyAlignment="1" applyProtection="1">
      <alignment horizontal="left" vertical="center" wrapText="1"/>
      <protection locked="0"/>
    </xf>
    <xf numFmtId="49" fontId="23" fillId="39" borderId="12" xfId="0" applyNumberFormat="1" applyFont="1" applyFill="1" applyBorder="1" applyAlignment="1" applyProtection="1">
      <alignment horizontal="left" vertical="center" wrapText="1"/>
      <protection locked="0"/>
    </xf>
    <xf numFmtId="0" fontId="45" fillId="0" borderId="0" xfId="0" applyFont="1" applyAlignment="1">
      <alignment vertical="top"/>
    </xf>
    <xf numFmtId="49" fontId="23" fillId="0" borderId="31" xfId="0" applyNumberFormat="1" applyFont="1" applyBorder="1" applyAlignment="1">
      <alignment horizontal="center" vertical="center" wrapText="1"/>
    </xf>
    <xf numFmtId="0" fontId="23" fillId="0" borderId="31" xfId="0" applyFont="1" applyBorder="1" applyAlignment="1">
      <alignment horizontal="left" vertical="center" wrapText="1"/>
    </xf>
    <xf numFmtId="0" fontId="23" fillId="0" borderId="31" xfId="0" applyFont="1" applyBorder="1" applyAlignment="1">
      <alignment horizontal="left" vertical="center" wrapText="1" indent="1"/>
    </xf>
    <xf numFmtId="4" fontId="23" fillId="39" borderId="31" xfId="0" applyNumberFormat="1" applyFont="1" applyFill="1" applyBorder="1" applyAlignment="1" applyProtection="1">
      <alignment horizontal="right" vertical="center" wrapText="1"/>
      <protection locked="0"/>
    </xf>
    <xf numFmtId="49" fontId="23" fillId="0" borderId="32" xfId="0" applyNumberFormat="1" applyFont="1" applyBorder="1" applyAlignment="1">
      <alignment horizontal="center" vertical="center" wrapText="1"/>
    </xf>
    <xf numFmtId="49" fontId="23" fillId="39" borderId="12" xfId="0" applyNumberFormat="1" applyFont="1" applyFill="1" applyBorder="1" applyAlignment="1" applyProtection="1">
      <alignment horizontal="left" vertical="center" wrapText="1" indent="1"/>
      <protection locked="0"/>
    </xf>
    <xf numFmtId="0" fontId="23" fillId="0" borderId="31" xfId="0" applyFont="1" applyBorder="1" applyAlignment="1">
      <alignment horizontal="left" vertical="center" wrapText="1" indent="2"/>
    </xf>
    <xf numFmtId="0" fontId="47" fillId="0" borderId="0" xfId="0" applyFont="1" applyAlignment="1">
      <alignment horizontal="center" vertical="center" wrapText="1"/>
    </xf>
    <xf numFmtId="49" fontId="23" fillId="0" borderId="0" xfId="0" applyNumberFormat="1" applyFont="1" applyAlignment="1">
      <alignment horizontal="left" vertical="center" wrapText="1"/>
    </xf>
    <xf numFmtId="0" fontId="84" fillId="0" borderId="0" xfId="0" applyFont="1" applyAlignment="1">
      <alignment vertical="center" wrapText="1"/>
    </xf>
    <xf numFmtId="0" fontId="84" fillId="0" borderId="0" xfId="0" applyFont="1" applyAlignment="1">
      <alignment vertical="center" wrapText="1"/>
    </xf>
    <xf numFmtId="0" fontId="23" fillId="0" borderId="0" xfId="0" applyFont="1" applyAlignment="1">
      <alignment horizontal="left" vertical="center" wrapText="1"/>
    </xf>
    <xf numFmtId="0" fontId="23" fillId="0" borderId="12" xfId="0" applyFont="1" applyBorder="1" applyAlignment="1">
      <alignment horizontal="left" vertical="center" wrapText="1"/>
    </xf>
    <xf numFmtId="3" fontId="23" fillId="0" borderId="14" xfId="0" applyNumberFormat="1" applyFont="1" applyBorder="1" applyAlignment="1">
      <alignment vertical="center" wrapText="1"/>
    </xf>
    <xf numFmtId="0" fontId="23" fillId="0" borderId="13" xfId="0" applyFont="1" applyBorder="1" applyAlignment="1">
      <alignment vertical="center" wrapText="1"/>
    </xf>
    <xf numFmtId="4" fontId="23" fillId="36" borderId="14" xfId="0" applyNumberFormat="1" applyFont="1" applyFill="1" applyBorder="1" applyAlignment="1" applyProtection="1">
      <alignment horizontal="right" vertical="center" wrapText="1"/>
      <protection locked="0"/>
    </xf>
    <xf numFmtId="4" fontId="23" fillId="0" borderId="14" xfId="0" applyNumberFormat="1" applyFont="1" applyBorder="1" applyAlignment="1">
      <alignment horizontal="right" vertical="center" wrapText="1"/>
    </xf>
    <xf numFmtId="4" fontId="23" fillId="0" borderId="30" xfId="0" applyNumberFormat="1" applyFont="1" applyBorder="1" applyAlignment="1">
      <alignment horizontal="right" vertical="center" wrapText="1"/>
    </xf>
    <xf numFmtId="0" fontId="36" fillId="0" borderId="0" xfId="0" applyFont="1" applyAlignment="1">
      <alignment horizontal="center" vertical="center" wrapText="1"/>
    </xf>
    <xf numFmtId="0" fontId="23" fillId="0" borderId="14" xfId="0" applyFont="1" applyBorder="1" applyAlignment="1">
      <alignment horizontal="center" vertical="center" wrapText="1"/>
    </xf>
    <xf numFmtId="3" fontId="23" fillId="39" borderId="14" xfId="0" applyNumberFormat="1" applyFont="1" applyFill="1" applyBorder="1" applyAlignment="1" applyProtection="1">
      <alignment vertical="center" wrapText="1"/>
      <protection locked="0"/>
    </xf>
    <xf numFmtId="49" fontId="23" fillId="36" borderId="14" xfId="0" applyNumberFormat="1" applyFont="1" applyFill="1" applyBorder="1" applyAlignment="1" applyProtection="1">
      <alignment horizontal="left" vertical="center" wrapText="1"/>
      <protection locked="0"/>
    </xf>
    <xf numFmtId="4" fontId="23" fillId="34" borderId="14" xfId="0" applyNumberFormat="1" applyFont="1" applyFill="1" applyBorder="1" applyAlignment="1">
      <alignment horizontal="right" vertical="center" wrapText="1"/>
    </xf>
    <xf numFmtId="0" fontId="23" fillId="0" borderId="0" xfId="0" applyFont="1" applyAlignment="1">
      <alignment horizontal="left" vertical="center" wrapText="1"/>
    </xf>
    <xf numFmtId="0" fontId="0" fillId="0" borderId="14" xfId="0" applyFont="1" applyBorder="1" applyAlignment="1">
      <alignment horizontal="center" vertical="center"/>
    </xf>
    <xf numFmtId="49" fontId="0" fillId="0" borderId="12" xfId="0" applyNumberFormat="1" applyFont="1" applyBorder="1" applyAlignment="1">
      <alignment horizontal="left" vertical="center" wrapText="1" indent="1"/>
    </xf>
    <xf numFmtId="0" fontId="23" fillId="0" borderId="13" xfId="0" applyFont="1" applyBorder="1" applyAlignment="1">
      <alignment horizontal="center" vertical="center" wrapText="1"/>
    </xf>
    <xf numFmtId="49" fontId="0" fillId="0" borderId="14" xfId="0" applyNumberFormat="1" applyFont="1" applyBorder="1" applyAlignment="1">
      <alignment horizontal="center" vertical="center"/>
    </xf>
    <xf numFmtId="49" fontId="0" fillId="0" borderId="12" xfId="0" applyNumberFormat="1" applyFont="1" applyBorder="1" applyAlignment="1">
      <alignment vertical="center" wrapText="1"/>
    </xf>
    <xf numFmtId="0" fontId="23" fillId="37" borderId="19" xfId="0" applyFont="1" applyFill="1" applyBorder="1" applyAlignment="1">
      <alignment vertical="center" wrapText="1"/>
    </xf>
    <xf numFmtId="0" fontId="23" fillId="0" borderId="15" xfId="0" applyFont="1" applyBorder="1" applyAlignment="1">
      <alignment horizontal="center" vertical="center" wrapText="1"/>
    </xf>
    <xf numFmtId="0" fontId="23" fillId="37" borderId="27" xfId="0" applyFont="1" applyFill="1" applyBorder="1" applyAlignment="1">
      <alignment vertical="center" wrapText="1"/>
    </xf>
    <xf numFmtId="49" fontId="23" fillId="39" borderId="14" xfId="0" applyNumberFormat="1" applyFont="1" applyFill="1" applyBorder="1" applyAlignment="1" applyProtection="1">
      <alignment horizontal="left" vertical="center" wrapText="1"/>
      <protection locked="0"/>
    </xf>
    <xf numFmtId="49" fontId="0" fillId="36" borderId="12" xfId="0" applyNumberFormat="1" applyFont="1" applyFill="1" applyBorder="1" applyAlignment="1" applyProtection="1">
      <alignment horizontal="left" vertical="center" wrapText="1"/>
      <protection locked="0"/>
    </xf>
    <xf numFmtId="0" fontId="46" fillId="0" borderId="0" xfId="0" applyFont="1" applyAlignment="1">
      <alignment horizontal="left" vertical="center" wrapText="1" indent="1"/>
    </xf>
    <xf numFmtId="0" fontId="89" fillId="0" borderId="0" xfId="0" applyFont="1" applyAlignment="1">
      <alignment vertical="center" wrapText="1"/>
    </xf>
    <xf numFmtId="0" fontId="89" fillId="35" borderId="0" xfId="0" applyFont="1" applyFill="1" applyAlignment="1">
      <alignment horizontal="center" vertical="center" wrapText="1"/>
    </xf>
    <xf numFmtId="0" fontId="89" fillId="35" borderId="0" xfId="0" applyFont="1" applyFill="1" applyAlignment="1">
      <alignment horizontal="right" vertical="center" wrapText="1"/>
    </xf>
    <xf numFmtId="0" fontId="23" fillId="0" borderId="12" xfId="0" applyFont="1" applyBorder="1" applyAlignment="1">
      <alignment horizontal="center" vertical="center" wrapText="1"/>
    </xf>
    <xf numFmtId="49" fontId="47" fillId="0" borderId="0" xfId="0" applyNumberFormat="1" applyFont="1" applyAlignment="1">
      <alignment horizontal="center" vertical="center" wrapText="1"/>
    </xf>
    <xf numFmtId="0" fontId="23" fillId="0" borderId="12" xfId="0" applyFont="1" applyBorder="1" applyAlignment="1">
      <alignment horizontal="center" vertical="center" wrapText="1"/>
    </xf>
    <xf numFmtId="0" fontId="47" fillId="0" borderId="0" xfId="0" applyFont="1" applyAlignment="1">
      <alignment horizontal="center" vertical="top"/>
    </xf>
    <xf numFmtId="0" fontId="23" fillId="0" borderId="12" xfId="0" applyFont="1" applyBorder="1" applyAlignment="1">
      <alignment horizontal="left" vertical="center" wrapText="1"/>
    </xf>
    <xf numFmtId="0" fontId="48" fillId="0" borderId="0" xfId="0" applyFont="1" applyAlignment="1">
      <alignment horizontal="center" vertical="center" wrapText="1"/>
    </xf>
    <xf numFmtId="0" fontId="23" fillId="0" borderId="12" xfId="0" applyFont="1" applyBorder="1" applyAlignment="1">
      <alignment horizontal="left" vertical="center" wrapText="1"/>
    </xf>
    <xf numFmtId="49" fontId="23" fillId="40" borderId="12" xfId="0" applyNumberFormat="1" applyFont="1" applyFill="1" applyBorder="1" applyAlignment="1">
      <alignment horizontal="left" vertical="center" wrapText="1" indent="1"/>
    </xf>
    <xf numFmtId="0" fontId="23" fillId="0" borderId="14" xfId="0" applyFont="1" applyBorder="1" applyAlignment="1">
      <alignment vertical="center" wrapText="1"/>
    </xf>
    <xf numFmtId="0" fontId="23" fillId="0" borderId="0" xfId="0" applyFont="1" applyAlignment="1">
      <alignment horizontal="right" vertical="center"/>
    </xf>
    <xf numFmtId="49" fontId="54" fillId="37" borderId="13" xfId="0" applyNumberFormat="1" applyFont="1" applyFill="1" applyBorder="1" applyAlignment="1">
      <alignment horizontal="left" vertical="center" wrapText="1"/>
    </xf>
    <xf numFmtId="0" fontId="90" fillId="0" borderId="0" xfId="0" applyFont="1" applyAlignment="1">
      <alignment vertical="center"/>
    </xf>
    <xf numFmtId="0" fontId="91" fillId="0" borderId="0" xfId="0" applyFont="1" applyAlignment="1">
      <alignment vertical="center"/>
    </xf>
    <xf numFmtId="49" fontId="48" fillId="0" borderId="22" xfId="0" applyNumberFormat="1" applyFont="1" applyBorder="1" applyAlignment="1">
      <alignment vertical="top"/>
    </xf>
    <xf numFmtId="49" fontId="48" fillId="0" borderId="22" xfId="0" applyNumberFormat="1" applyFont="1" applyBorder="1" applyAlignment="1">
      <alignment vertical="top"/>
    </xf>
    <xf numFmtId="0" fontId="48" fillId="0" borderId="22" xfId="0" applyFont="1" applyBorder="1" applyAlignment="1">
      <alignment vertical="center" wrapText="1"/>
    </xf>
    <xf numFmtId="0" fontId="23" fillId="0" borderId="13" xfId="0" applyFont="1" applyBorder="1" applyAlignment="1">
      <alignment horizontal="left" vertical="center" wrapText="1" indent="1"/>
    </xf>
    <xf numFmtId="0" fontId="72" fillId="0" borderId="22" xfId="0" applyFont="1" applyBorder="1" applyAlignment="1">
      <alignment vertical="center" wrapText="1"/>
    </xf>
    <xf numFmtId="4" fontId="23" fillId="0" borderId="31" xfId="0" applyNumberFormat="1" applyFont="1" applyBorder="1" applyAlignment="1">
      <alignment horizontal="center" vertical="center" wrapText="1"/>
    </xf>
    <xf numFmtId="0" fontId="23" fillId="0" borderId="33" xfId="0" applyFont="1" applyBorder="1" applyAlignment="1">
      <alignment horizontal="left" vertical="center" wrapText="1"/>
    </xf>
    <xf numFmtId="0" fontId="23" fillId="0" borderId="33" xfId="0" applyFont="1" applyBorder="1" applyAlignment="1">
      <alignment horizontal="left" vertical="center" wrapText="1" indent="1"/>
    </xf>
    <xf numFmtId="4" fontId="23" fillId="39" borderId="33" xfId="0" applyNumberFormat="1" applyFont="1" applyFill="1" applyBorder="1" applyAlignment="1" applyProtection="1">
      <alignment horizontal="right" vertical="center" wrapText="1"/>
      <protection locked="0"/>
    </xf>
    <xf numFmtId="4" fontId="23" fillId="0" borderId="33" xfId="0" applyNumberFormat="1" applyFont="1" applyBorder="1" applyAlignment="1">
      <alignment horizontal="center" vertical="center" wrapText="1"/>
    </xf>
    <xf numFmtId="49" fontId="23" fillId="0" borderId="34" xfId="0" applyNumberFormat="1" applyFont="1" applyBorder="1" applyAlignment="1">
      <alignment horizontal="center" vertical="center" wrapText="1"/>
    </xf>
    <xf numFmtId="4" fontId="23" fillId="39" borderId="14" xfId="0" applyNumberFormat="1" applyFont="1" applyFill="1" applyBorder="1" applyAlignment="1" applyProtection="1">
      <alignment horizontal="right" vertical="center" wrapText="1"/>
      <protection locked="0"/>
    </xf>
    <xf numFmtId="4" fontId="23" fillId="39" borderId="34" xfId="0" applyNumberFormat="1" applyFont="1" applyFill="1" applyBorder="1" applyAlignment="1" applyProtection="1">
      <alignment horizontal="right" vertical="center" wrapText="1"/>
      <protection locked="0"/>
    </xf>
    <xf numFmtId="0" fontId="47" fillId="0" borderId="0" xfId="0" applyFont="1" applyAlignment="1">
      <alignment horizontal="left" vertical="center" wrapText="1"/>
    </xf>
    <xf numFmtId="0" fontId="48" fillId="0" borderId="0" xfId="0" applyFont="1" applyAlignment="1">
      <alignment horizontal="left" vertical="center" wrapText="1"/>
    </xf>
    <xf numFmtId="0" fontId="55" fillId="0" borderId="0" xfId="0" applyFont="1" applyAlignment="1">
      <alignment horizontal="left" vertical="center" wrapText="1"/>
    </xf>
    <xf numFmtId="0" fontId="32" fillId="0" borderId="0" xfId="0" applyFont="1" applyAlignment="1">
      <alignment horizontal="left" vertical="center" wrapText="1"/>
    </xf>
    <xf numFmtId="49" fontId="23" fillId="0" borderId="0" xfId="0" applyNumberFormat="1" applyFont="1" applyAlignment="1">
      <alignment horizontal="center" vertical="center" wrapText="1"/>
    </xf>
    <xf numFmtId="0" fontId="85" fillId="0" borderId="0" xfId="0" applyFont="1" applyAlignment="1">
      <alignment vertical="center" wrapText="1"/>
    </xf>
    <xf numFmtId="0" fontId="48" fillId="0" borderId="0" xfId="0" applyFont="1" applyAlignment="1">
      <alignment vertical="center" wrapText="1"/>
    </xf>
    <xf numFmtId="0" fontId="55" fillId="0" borderId="0" xfId="0" applyFont="1" applyAlignment="1">
      <alignment vertical="center" wrapText="1"/>
    </xf>
    <xf numFmtId="0" fontId="32" fillId="0" borderId="0" xfId="0" applyFont="1" applyAlignment="1">
      <alignment vertical="center" wrapText="1"/>
    </xf>
    <xf numFmtId="49" fontId="50" fillId="0" borderId="0" xfId="0" applyNumberFormat="1" applyFont="1" applyAlignment="1">
      <alignment horizontal="center" vertical="center"/>
    </xf>
    <xf numFmtId="0" fontId="23" fillId="0" borderId="0" xfId="0" applyFont="1" applyAlignment="1">
      <alignment vertical="center" wrapText="1"/>
    </xf>
    <xf numFmtId="4" fontId="23" fillId="0" borderId="35" xfId="0" applyNumberFormat="1" applyFont="1" applyBorder="1" applyAlignment="1">
      <alignment horizontal="center" vertical="center" wrapText="1"/>
    </xf>
    <xf numFmtId="4" fontId="23" fillId="39" borderId="35" xfId="0" applyNumberFormat="1" applyFont="1" applyFill="1" applyBorder="1" applyAlignment="1" applyProtection="1">
      <alignment horizontal="right" vertical="center" wrapText="1"/>
      <protection locked="0"/>
    </xf>
    <xf numFmtId="4" fontId="23" fillId="39" borderId="23" xfId="0" applyNumberFormat="1" applyFont="1" applyFill="1" applyBorder="1" applyAlignment="1" applyProtection="1">
      <alignment horizontal="right" vertical="center" wrapText="1"/>
      <protection locked="0"/>
    </xf>
    <xf numFmtId="49" fontId="23" fillId="0" borderId="33" xfId="0" applyNumberFormat="1" applyFont="1" applyBorder="1" applyAlignment="1">
      <alignment horizontal="center" vertical="center" wrapText="1"/>
    </xf>
    <xf numFmtId="0" fontId="23" fillId="0" borderId="35" xfId="0" applyFont="1" applyBorder="1" applyAlignment="1">
      <alignment horizontal="left" vertical="center" wrapText="1"/>
    </xf>
    <xf numFmtId="0" fontId="23" fillId="0" borderId="20" xfId="0" applyFont="1" applyBorder="1" applyAlignment="1">
      <alignment vertical="center" wrapText="1"/>
    </xf>
    <xf numFmtId="0" fontId="37" fillId="0" borderId="0" xfId="0" applyFont="1" applyAlignment="1">
      <alignment horizontal="center" vertical="center" wrapText="1"/>
    </xf>
    <xf numFmtId="0" fontId="23" fillId="37" borderId="15" xfId="0" applyFont="1" applyFill="1" applyBorder="1" applyAlignment="1">
      <alignment vertical="center" wrapText="1"/>
    </xf>
    <xf numFmtId="0" fontId="47" fillId="37" borderId="13" xfId="0" applyFont="1" applyFill="1" applyBorder="1" applyAlignment="1">
      <alignment vertical="center" wrapText="1"/>
    </xf>
    <xf numFmtId="178" fontId="23" fillId="34" borderId="12" xfId="0" applyNumberFormat="1" applyFont="1" applyFill="1" applyBorder="1" applyAlignment="1">
      <alignment horizontal="right" vertical="center" wrapText="1"/>
    </xf>
    <xf numFmtId="0" fontId="0" fillId="0" borderId="0" xfId="0" applyFont="1" applyAlignment="1">
      <alignment vertical="center"/>
    </xf>
    <xf numFmtId="4" fontId="23" fillId="36" borderId="12" xfId="0" applyNumberFormat="1" applyFont="1" applyFill="1" applyBorder="1" applyAlignment="1" applyProtection="1">
      <alignment horizontal="right" vertical="center" wrapText="1"/>
      <protection locked="0"/>
    </xf>
    <xf numFmtId="0" fontId="74" fillId="35" borderId="0" xfId="0" applyFont="1" applyFill="1" applyAlignment="1">
      <alignment horizontal="right" vertical="center"/>
    </xf>
    <xf numFmtId="49" fontId="0" fillId="0" borderId="12" xfId="0" applyNumberFormat="1" applyFont="1" applyBorder="1" applyAlignment="1">
      <alignment vertical="top"/>
    </xf>
    <xf numFmtId="0" fontId="23" fillId="0" borderId="14" xfId="0" applyFont="1" applyBorder="1" applyAlignment="1">
      <alignment horizontal="center" vertical="center" wrapText="1"/>
    </xf>
    <xf numFmtId="49" fontId="0" fillId="16" borderId="12" xfId="0" applyNumberFormat="1" applyFont="1" applyFill="1" applyBorder="1" applyAlignment="1">
      <alignment vertical="top"/>
    </xf>
    <xf numFmtId="49" fontId="0" fillId="16" borderId="17" xfId="0" applyNumberFormat="1" applyFont="1" applyFill="1" applyBorder="1" applyAlignment="1">
      <alignment vertical="top"/>
    </xf>
    <xf numFmtId="49" fontId="0" fillId="43" borderId="17" xfId="0" applyNumberFormat="1" applyFont="1" applyFill="1" applyBorder="1" applyAlignment="1">
      <alignment vertical="top"/>
    </xf>
    <xf numFmtId="0" fontId="23" fillId="0" borderId="0" xfId="0" applyFont="1" applyAlignment="1">
      <alignment vertical="center" wrapText="1"/>
    </xf>
    <xf numFmtId="0" fontId="32" fillId="0" borderId="0" xfId="0" applyFont="1" applyAlignment="1">
      <alignment vertical="center" wrapText="1"/>
    </xf>
    <xf numFmtId="0" fontId="23" fillId="0" borderId="12" xfId="0" applyFont="1" applyBorder="1" applyAlignment="1">
      <alignment horizontal="center" vertical="center" wrapText="1"/>
    </xf>
    <xf numFmtId="0" fontId="23" fillId="0" borderId="12" xfId="0" applyFont="1" applyBorder="1" applyAlignment="1">
      <alignment horizontal="center" vertical="center" wrapText="1"/>
    </xf>
    <xf numFmtId="49" fontId="23" fillId="0" borderId="0" xfId="0" applyNumberFormat="1" applyFont="1" applyAlignment="1">
      <alignment vertical="center" wrapText="1"/>
    </xf>
    <xf numFmtId="0" fontId="23" fillId="0" borderId="0" xfId="0" applyFont="1" applyAlignment="1">
      <alignment horizontal="center" vertical="center" wrapText="1"/>
    </xf>
    <xf numFmtId="49" fontId="0" fillId="0" borderId="14" xfId="0" applyNumberFormat="1" applyFont="1" applyBorder="1" applyAlignment="1">
      <alignment vertical="top"/>
    </xf>
    <xf numFmtId="49" fontId="0" fillId="0" borderId="14" xfId="0" applyNumberFormat="1" applyFont="1" applyBorder="1" applyAlignment="1">
      <alignment horizontal="center" vertical="top"/>
    </xf>
    <xf numFmtId="49" fontId="0" fillId="0" borderId="15" xfId="0" applyNumberFormat="1" applyFont="1" applyBorder="1" applyAlignment="1">
      <alignment horizontal="center" vertical="top"/>
    </xf>
    <xf numFmtId="49" fontId="0" fillId="5" borderId="12" xfId="0" applyNumberFormat="1" applyFont="1" applyFill="1" applyBorder="1" applyAlignment="1">
      <alignment vertical="top"/>
    </xf>
    <xf numFmtId="49" fontId="0" fillId="44" borderId="12" xfId="0" applyNumberFormat="1" applyFont="1" applyFill="1" applyBorder="1" applyAlignment="1">
      <alignment vertical="top"/>
    </xf>
    <xf numFmtId="49" fontId="0" fillId="3" borderId="12" xfId="0" applyNumberFormat="1" applyFont="1" applyFill="1" applyBorder="1" applyAlignment="1">
      <alignment vertical="top"/>
    </xf>
    <xf numFmtId="49" fontId="0" fillId="0" borderId="0" xfId="0" applyNumberFormat="1" applyFont="1" applyAlignment="1">
      <alignment vertical="top"/>
    </xf>
    <xf numFmtId="0" fontId="23" fillId="0" borderId="0" xfId="0" applyFont="1" applyAlignment="1">
      <alignment horizontal="center" vertical="center" wrapText="1"/>
    </xf>
    <xf numFmtId="0" fontId="50" fillId="35" borderId="0" xfId="0" applyFont="1" applyFill="1" applyAlignment="1">
      <alignment vertical="center" wrapText="1"/>
    </xf>
    <xf numFmtId="0" fontId="54" fillId="0" borderId="0" xfId="0" applyFont="1" applyAlignment="1">
      <alignment horizontal="left" vertical="center" indent="1"/>
    </xf>
    <xf numFmtId="0" fontId="0" fillId="35" borderId="0" xfId="0" applyFont="1" applyFill="1" applyAlignment="1">
      <alignment horizontal="right" vertical="center" wrapText="1" indent="1"/>
    </xf>
    <xf numFmtId="0" fontId="0" fillId="35" borderId="0" xfId="0" applyFont="1" applyFill="1" applyAlignment="1">
      <alignment horizontal="left" vertical="center" wrapText="1" indent="1"/>
    </xf>
    <xf numFmtId="14" fontId="23" fillId="35" borderId="0" xfId="0" applyNumberFormat="1" applyFont="1" applyFill="1" applyAlignment="1">
      <alignment horizontal="center" vertical="center" wrapText="1"/>
    </xf>
    <xf numFmtId="180" fontId="23" fillId="0" borderId="14" xfId="0" applyNumberFormat="1" applyFont="1" applyBorder="1" applyAlignment="1">
      <alignment horizontal="center" vertical="center" wrapText="1"/>
    </xf>
    <xf numFmtId="49" fontId="36" fillId="0" borderId="15" xfId="0" applyNumberFormat="1" applyFont="1" applyBorder="1" applyAlignment="1">
      <alignment horizontal="center" vertical="center" wrapText="1"/>
    </xf>
    <xf numFmtId="49" fontId="23" fillId="0" borderId="0" xfId="0" applyNumberFormat="1" applyFont="1" applyAlignment="1">
      <alignment horizontal="center" vertical="center" wrapText="1"/>
    </xf>
    <xf numFmtId="0" fontId="23" fillId="0" borderId="23" xfId="0" applyFont="1" applyBorder="1" applyAlignment="1">
      <alignment horizontal="center" vertical="center" wrapText="1"/>
    </xf>
    <xf numFmtId="49" fontId="0" fillId="45" borderId="12" xfId="0" applyNumberFormat="1" applyFont="1" applyFill="1" applyBorder="1" applyAlignment="1">
      <alignment vertical="top"/>
    </xf>
    <xf numFmtId="0" fontId="37" fillId="0" borderId="0" xfId="0" applyFont="1" applyAlignment="1">
      <alignment horizontal="center" vertical="center" wrapText="1"/>
    </xf>
    <xf numFmtId="0" fontId="92" fillId="0" borderId="0" xfId="0" applyFont="1" applyAlignment="1">
      <alignment horizontal="left" vertical="center" wrapText="1"/>
    </xf>
    <xf numFmtId="0" fontId="92" fillId="0" borderId="0" xfId="0" applyFont="1" applyAlignment="1">
      <alignment horizontal="left" vertical="center" wrapText="1"/>
    </xf>
    <xf numFmtId="14" fontId="92" fillId="35" borderId="0" xfId="0" applyNumberFormat="1" applyFont="1" applyFill="1" applyAlignment="1">
      <alignment horizontal="left" vertical="center" wrapText="1"/>
    </xf>
    <xf numFmtId="14" fontId="93" fillId="0" borderId="0" xfId="0" applyNumberFormat="1" applyFont="1" applyAlignment="1">
      <alignment horizontal="center" vertical="center" wrapText="1"/>
    </xf>
    <xf numFmtId="0" fontId="92" fillId="0" borderId="0" xfId="0" applyFont="1" applyAlignment="1">
      <alignment horizontal="left" vertical="center" wrapText="1"/>
    </xf>
    <xf numFmtId="14" fontId="94" fillId="0" borderId="12" xfId="0" applyNumberFormat="1" applyFont="1" applyBorder="1" applyAlignment="1">
      <alignment horizontal="left" vertical="center" wrapText="1"/>
    </xf>
    <xf numFmtId="0" fontId="48" fillId="0" borderId="0" xfId="0" applyFont="1" applyAlignment="1">
      <alignment vertical="center"/>
    </xf>
    <xf numFmtId="49" fontId="23" fillId="37" borderId="19" xfId="0" applyNumberFormat="1" applyFont="1" applyFill="1" applyBorder="1" applyAlignment="1">
      <alignment horizontal="center" vertical="center" wrapText="1"/>
    </xf>
    <xf numFmtId="49" fontId="23" fillId="34" borderId="23" xfId="0" applyNumberFormat="1" applyFont="1" applyFill="1" applyBorder="1" applyAlignment="1">
      <alignment horizontal="center" vertical="center" wrapText="1"/>
    </xf>
    <xf numFmtId="49" fontId="47" fillId="0" borderId="12" xfId="0" applyNumberFormat="1" applyFont="1" applyBorder="1" applyAlignment="1">
      <alignment horizontal="left" vertical="center" wrapText="1"/>
    </xf>
    <xf numFmtId="14" fontId="23" fillId="40" borderId="23" xfId="0" applyNumberFormat="1" applyFont="1" applyFill="1" applyBorder="1" applyAlignment="1">
      <alignment horizontal="left" vertical="center" wrapText="1" indent="1"/>
    </xf>
    <xf numFmtId="49" fontId="23" fillId="37" borderId="14" xfId="0" applyNumberFormat="1" applyFont="1" applyFill="1" applyBorder="1" applyAlignment="1">
      <alignment horizontal="right" vertical="center" wrapText="1"/>
    </xf>
    <xf numFmtId="0" fontId="48" fillId="0" borderId="23" xfId="0" applyFont="1" applyBorder="1" applyAlignment="1">
      <alignment horizontal="center" vertical="center" wrapText="1"/>
    </xf>
    <xf numFmtId="49" fontId="23" fillId="0" borderId="13" xfId="0" applyNumberFormat="1" applyFont="1" applyBorder="1" applyAlignment="1">
      <alignment horizontal="center" vertical="top"/>
    </xf>
    <xf numFmtId="49" fontId="23" fillId="0" borderId="12" xfId="0" applyNumberFormat="1" applyFont="1" applyBorder="1" applyAlignment="1">
      <alignment horizontal="center" vertical="top"/>
    </xf>
    <xf numFmtId="0" fontId="23" fillId="0" borderId="23" xfId="0" applyFont="1" applyBorder="1" applyAlignment="1">
      <alignment horizontal="center" vertical="center" wrapText="1"/>
    </xf>
    <xf numFmtId="49" fontId="23" fillId="0" borderId="14" xfId="0" applyNumberFormat="1" applyFont="1" applyBorder="1" applyAlignment="1">
      <alignment horizontal="center" vertical="top"/>
    </xf>
    <xf numFmtId="0" fontId="36" fillId="0" borderId="24" xfId="0" applyFont="1" applyBorder="1" applyAlignment="1">
      <alignment vertical="top" wrapText="1"/>
    </xf>
    <xf numFmtId="0" fontId="36" fillId="0" borderId="0" xfId="0" applyFont="1" applyAlignment="1">
      <alignment vertical="top" wrapText="1"/>
    </xf>
    <xf numFmtId="0" fontId="48" fillId="0" borderId="12" xfId="0" applyFont="1" applyBorder="1" applyAlignment="1">
      <alignment horizontal="center" vertical="center" wrapText="1"/>
    </xf>
    <xf numFmtId="0" fontId="47" fillId="0" borderId="23" xfId="0" applyFont="1" applyBorder="1" applyAlignment="1">
      <alignment horizontal="center" vertical="center" wrapText="1"/>
    </xf>
    <xf numFmtId="0" fontId="48" fillId="0" borderId="12" xfId="0" applyFont="1" applyBorder="1" applyAlignment="1">
      <alignment horizontal="center" vertical="center"/>
    </xf>
    <xf numFmtId="0" fontId="23" fillId="0" borderId="12" xfId="0" applyFont="1" applyBorder="1" applyAlignment="1">
      <alignment horizontal="center" vertical="center" wrapText="1"/>
    </xf>
    <xf numFmtId="49" fontId="23" fillId="0" borderId="0" xfId="0" applyNumberFormat="1" applyFont="1" applyAlignment="1">
      <alignment horizontal="center" vertical="center" wrapText="1"/>
    </xf>
    <xf numFmtId="0" fontId="23" fillId="0" borderId="12" xfId="0" applyFont="1" applyBorder="1" applyAlignment="1">
      <alignment horizontal="center" vertical="center" wrapText="1"/>
    </xf>
    <xf numFmtId="0" fontId="23" fillId="0" borderId="14" xfId="0" applyFont="1" applyBorder="1" applyAlignment="1">
      <alignment horizontal="center" vertical="center" wrapText="1"/>
    </xf>
    <xf numFmtId="0" fontId="23" fillId="0" borderId="12" xfId="0" applyFont="1" applyBorder="1" applyAlignment="1">
      <alignment horizontal="center" vertical="center" wrapText="1"/>
    </xf>
    <xf numFmtId="0" fontId="23" fillId="0" borderId="17" xfId="0" applyFont="1" applyBorder="1" applyAlignment="1">
      <alignment horizontal="center" vertical="center" wrapText="1"/>
    </xf>
    <xf numFmtId="49" fontId="76" fillId="39" borderId="12" xfId="0" applyNumberFormat="1" applyFont="1" applyFill="1" applyBorder="1" applyAlignment="1" applyProtection="1">
      <alignment horizontal="left" vertical="center" wrapText="1" indent="1"/>
      <protection locked="0"/>
    </xf>
    <xf numFmtId="0" fontId="47" fillId="0" borderId="22" xfId="0" applyFont="1" applyBorder="1" applyAlignment="1">
      <alignment vertical="center"/>
    </xf>
    <xf numFmtId="0" fontId="23" fillId="0" borderId="13" xfId="0" applyFont="1" applyBorder="1" applyAlignment="1">
      <alignment horizontal="center" vertical="center" wrapText="1"/>
    </xf>
    <xf numFmtId="49" fontId="23" fillId="40" borderId="12" xfId="0" applyNumberFormat="1" applyFont="1" applyFill="1" applyBorder="1" applyAlignment="1">
      <alignment horizontal="center" vertical="center" wrapText="1"/>
    </xf>
    <xf numFmtId="0" fontId="23" fillId="0" borderId="12" xfId="0" applyFont="1" applyBorder="1" applyAlignment="1">
      <alignment horizontal="center" vertical="center" wrapText="1"/>
    </xf>
    <xf numFmtId="0" fontId="23" fillId="34" borderId="14" xfId="0" applyFont="1" applyFill="1" applyBorder="1" applyAlignment="1">
      <alignment horizontal="left" vertical="top" wrapText="1" indent="1"/>
    </xf>
    <xf numFmtId="3" fontId="23" fillId="36" borderId="14" xfId="0" applyNumberFormat="1" applyFont="1" applyFill="1" applyBorder="1" applyAlignment="1" applyProtection="1">
      <alignment horizontal="right" vertical="center" wrapText="1"/>
      <protection locked="0"/>
    </xf>
    <xf numFmtId="49" fontId="54" fillId="36" borderId="12" xfId="0" applyNumberFormat="1" applyFont="1" applyFill="1" applyBorder="1" applyAlignment="1" applyProtection="1">
      <alignment horizontal="left" vertical="center" wrapText="1"/>
      <protection locked="0"/>
    </xf>
    <xf numFmtId="0" fontId="54" fillId="0" borderId="0" xfId="0" applyFont="1" applyAlignment="1">
      <alignment vertical="center" wrapText="1"/>
    </xf>
    <xf numFmtId="0" fontId="23" fillId="0" borderId="13" xfId="0" applyFont="1" applyBorder="1" applyAlignment="1">
      <alignment horizontal="center" vertical="center" wrapText="1"/>
    </xf>
    <xf numFmtId="0" fontId="23" fillId="0" borderId="12" xfId="0" applyFont="1" applyBorder="1" applyAlignment="1">
      <alignment horizontal="center" vertical="center" wrapText="1"/>
    </xf>
    <xf numFmtId="0" fontId="37" fillId="35" borderId="0" xfId="0" applyFont="1" applyFill="1" applyAlignment="1">
      <alignment horizontal="center" vertical="center" wrapText="1"/>
    </xf>
    <xf numFmtId="0" fontId="23" fillId="35" borderId="12" xfId="0" applyFont="1" applyFill="1" applyBorder="1" applyAlignment="1">
      <alignment horizontal="center" vertical="center" wrapText="1"/>
    </xf>
    <xf numFmtId="0" fontId="0" fillId="0" borderId="20" xfId="0" applyFont="1" applyBorder="1" applyAlignment="1">
      <alignment horizontal="center" vertical="center" wrapText="1"/>
    </xf>
    <xf numFmtId="0" fontId="0" fillId="0" borderId="29" xfId="0" applyFont="1" applyBorder="1" applyAlignment="1">
      <alignment horizontal="center" vertical="center" wrapText="1"/>
    </xf>
    <xf numFmtId="0" fontId="0" fillId="0" borderId="17" xfId="0" applyFont="1" applyBorder="1" applyAlignment="1">
      <alignment horizontal="center" vertical="center" wrapText="1"/>
    </xf>
    <xf numFmtId="0" fontId="0" fillId="0" borderId="23" xfId="0" applyFont="1" applyBorder="1" applyAlignment="1">
      <alignment horizontal="center" vertical="center" wrapText="1"/>
    </xf>
    <xf numFmtId="0" fontId="0" fillId="0" borderId="17" xfId="0" applyFont="1" applyBorder="1" applyAlignment="1">
      <alignment horizontal="center" vertical="center" wrapText="1"/>
    </xf>
    <xf numFmtId="0" fontId="0" fillId="0" borderId="23" xfId="0" applyFont="1" applyBorder="1" applyAlignment="1">
      <alignment horizontal="center" vertical="center" wrapText="1"/>
    </xf>
    <xf numFmtId="49" fontId="36" fillId="35" borderId="15" xfId="0" applyNumberFormat="1" applyFont="1" applyFill="1" applyBorder="1" applyAlignment="1">
      <alignment horizontal="center" vertical="center" wrapText="1"/>
    </xf>
    <xf numFmtId="0" fontId="23" fillId="0" borderId="0" xfId="0" applyFont="1" applyAlignment="1">
      <alignment horizontal="left" vertical="center" wrapText="1" indent="1"/>
    </xf>
    <xf numFmtId="0" fontId="82" fillId="0" borderId="17" xfId="0" applyFont="1" applyBorder="1" applyAlignment="1">
      <alignment horizontal="center" vertical="center" wrapText="1"/>
    </xf>
    <xf numFmtId="49" fontId="47" fillId="0" borderId="0" xfId="0" applyNumberFormat="1" applyFont="1" applyAlignment="1">
      <alignment vertical="top"/>
    </xf>
    <xf numFmtId="0" fontId="95" fillId="0" borderId="0" xfId="0" applyFont="1" applyAlignment="1">
      <alignment vertical="center" wrapText="1"/>
    </xf>
    <xf numFmtId="0" fontId="0" fillId="0" borderId="0" xfId="0" applyFont="1" applyAlignment="1">
      <alignment vertical="top"/>
    </xf>
    <xf numFmtId="49" fontId="0" fillId="0" borderId="12" xfId="0" applyNumberFormat="1" applyFont="1" applyBorder="1" applyAlignment="1">
      <alignment vertical="top"/>
    </xf>
    <xf numFmtId="49" fontId="23" fillId="0" borderId="0" xfId="0" applyNumberFormat="1" applyFont="1" applyAlignment="1">
      <alignment vertical="top"/>
    </xf>
    <xf numFmtId="0" fontId="23" fillId="0" borderId="12" xfId="0" applyFont="1" applyBorder="1" applyAlignment="1">
      <alignment horizontal="left" vertical="top" wrapText="1"/>
    </xf>
    <xf numFmtId="49" fontId="96" fillId="0" borderId="0" xfId="0" applyNumberFormat="1" applyFont="1" applyAlignment="1">
      <alignment horizontal="center" vertical="top" wrapText="1"/>
    </xf>
    <xf numFmtId="49" fontId="96" fillId="0" borderId="0" xfId="0" applyNumberFormat="1" applyFont="1" applyAlignment="1">
      <alignment vertical="top" wrapText="1"/>
    </xf>
    <xf numFmtId="49" fontId="92" fillId="41" borderId="12" xfId="0" applyNumberFormat="1" applyFont="1" applyFill="1" applyBorder="1" applyAlignment="1">
      <alignment horizontal="center" vertical="top" wrapText="1"/>
    </xf>
    <xf numFmtId="49" fontId="96" fillId="0" borderId="0" xfId="0" applyNumberFormat="1" applyFont="1" applyAlignment="1">
      <alignment horizontal="left" vertical="top" wrapText="1"/>
    </xf>
    <xf numFmtId="49" fontId="96" fillId="0" borderId="12" xfId="0" applyNumberFormat="1" applyFont="1" applyBorder="1" applyAlignment="1">
      <alignment horizontal="left" vertical="top" wrapText="1"/>
    </xf>
    <xf numFmtId="0" fontId="96" fillId="0" borderId="12" xfId="0" applyFont="1" applyBorder="1" applyAlignment="1">
      <alignment horizontal="left" vertical="top" wrapText="1"/>
    </xf>
    <xf numFmtId="0" fontId="96" fillId="41" borderId="12" xfId="0" applyFont="1" applyFill="1" applyBorder="1" applyAlignment="1">
      <alignment horizontal="right" vertical="center" wrapText="1"/>
    </xf>
    <xf numFmtId="49" fontId="96" fillId="0" borderId="12" xfId="0" applyNumberFormat="1" applyFont="1" applyBorder="1" applyAlignment="1">
      <alignment vertical="top" wrapText="1"/>
    </xf>
    <xf numFmtId="0" fontId="96" fillId="0" borderId="17" xfId="0" applyFont="1" applyBorder="1" applyAlignment="1">
      <alignment horizontal="left" vertical="top" wrapText="1"/>
    </xf>
    <xf numFmtId="0" fontId="96" fillId="0" borderId="13" xfId="0" applyFont="1" applyBorder="1" applyAlignment="1">
      <alignment horizontal="left" vertical="top" wrapText="1"/>
    </xf>
    <xf numFmtId="0" fontId="96" fillId="0" borderId="12" xfId="0" applyFont="1" applyBorder="1" applyAlignment="1">
      <alignment vertical="top" wrapText="1"/>
    </xf>
    <xf numFmtId="0" fontId="92" fillId="41" borderId="12" xfId="0" applyFont="1" applyFill="1" applyBorder="1" applyAlignment="1">
      <alignment horizontal="center" vertical="top" wrapText="1"/>
    </xf>
    <xf numFmtId="0" fontId="96" fillId="0" borderId="0" xfId="0" applyFont="1" applyAlignment="1">
      <alignment vertical="top" wrapText="1"/>
    </xf>
    <xf numFmtId="0" fontId="91" fillId="0" borderId="0" xfId="0" applyFont="1" applyAlignment="1">
      <alignment vertical="center" wrapText="1"/>
    </xf>
    <xf numFmtId="0" fontId="46" fillId="0" borderId="0" xfId="0" applyFont="1" applyAlignment="1">
      <alignment horizontal="left" vertical="center" wrapText="1" indent="3"/>
    </xf>
    <xf numFmtId="3" fontId="0" fillId="0" borderId="13" xfId="0" applyNumberFormat="1" applyFont="1" applyBorder="1" applyAlignment="1">
      <alignment horizontal="right" vertical="center" wrapText="1"/>
    </xf>
    <xf numFmtId="0" fontId="23" fillId="40" borderId="14" xfId="0" applyFont="1" applyFill="1" applyBorder="1" applyAlignment="1">
      <alignment horizontal="left" vertical="center" wrapText="1"/>
    </xf>
    <xf numFmtId="49" fontId="36" fillId="35" borderId="12" xfId="0" applyNumberFormat="1" applyFont="1" applyFill="1" applyBorder="1" applyAlignment="1">
      <alignment horizontal="center" vertical="center" wrapText="1"/>
    </xf>
    <xf numFmtId="49" fontId="74" fillId="37" borderId="13" xfId="0" applyNumberFormat="1" applyFont="1" applyFill="1" applyBorder="1" applyAlignment="1">
      <alignment vertical="center"/>
    </xf>
    <xf numFmtId="49" fontId="23" fillId="35" borderId="0" xfId="0" applyNumberFormat="1" applyFont="1" applyFill="1" applyAlignment="1">
      <alignment horizontal="center" vertical="center" wrapText="1"/>
    </xf>
    <xf numFmtId="0" fontId="23" fillId="35" borderId="0" xfId="0" applyFont="1" applyFill="1" applyAlignment="1">
      <alignment horizontal="center" vertical="top" wrapText="1"/>
    </xf>
    <xf numFmtId="49" fontId="0" fillId="39" borderId="12" xfId="0" applyNumberFormat="1" applyFont="1" applyFill="1" applyBorder="1" applyAlignment="1" applyProtection="1">
      <alignment horizontal="left" vertical="center" wrapText="1" indent="1"/>
      <protection locked="0"/>
    </xf>
    <xf numFmtId="49" fontId="23" fillId="39" borderId="14" xfId="0" applyNumberFormat="1" applyFont="1" applyFill="1" applyBorder="1" applyAlignment="1" applyProtection="1">
      <alignment horizontal="left" vertical="center" wrapText="1"/>
      <protection locked="0"/>
    </xf>
    <xf numFmtId="49" fontId="23" fillId="39" borderId="12" xfId="0" applyNumberFormat="1" applyFont="1" applyFill="1" applyBorder="1" applyAlignment="1" applyProtection="1" quotePrefix="1">
      <alignment horizontal="left" vertical="center" wrapText="1"/>
      <protection locked="0"/>
    </xf>
    <xf numFmtId="14" fontId="23" fillId="40" borderId="23" xfId="0" applyNumberFormat="1" applyFont="1" applyFill="1" applyBorder="1" applyAlignment="1">
      <alignment horizontal="left" vertical="center" wrapText="1"/>
    </xf>
    <xf numFmtId="0" fontId="48" fillId="35" borderId="23" xfId="0" applyFont="1" applyFill="1" applyBorder="1" applyAlignment="1">
      <alignment horizontal="center" vertical="center" wrapText="1"/>
    </xf>
    <xf numFmtId="0" fontId="37" fillId="35" borderId="24" xfId="0" applyFont="1" applyFill="1" applyBorder="1" applyAlignment="1">
      <alignment vertical="top" wrapText="1"/>
    </xf>
    <xf numFmtId="0" fontId="37" fillId="35" borderId="0" xfId="0" applyFont="1" applyFill="1" applyAlignment="1">
      <alignment vertical="top" wrapText="1"/>
    </xf>
    <xf numFmtId="14" fontId="23" fillId="40" borderId="29" xfId="0" applyNumberFormat="1" applyFont="1" applyFill="1" applyBorder="1" applyAlignment="1">
      <alignment horizontal="left" vertical="center" wrapText="1"/>
    </xf>
    <xf numFmtId="0" fontId="48" fillId="35" borderId="12" xfId="0" applyFont="1" applyFill="1" applyBorder="1" applyAlignment="1">
      <alignment horizontal="center" vertical="center" wrapText="1"/>
    </xf>
    <xf numFmtId="0" fontId="40" fillId="37" borderId="15" xfId="0" applyFont="1" applyFill="1" applyBorder="1" applyAlignment="1">
      <alignment vertical="center"/>
    </xf>
    <xf numFmtId="0" fontId="49" fillId="0" borderId="0" xfId="0" applyFont="1" applyAlignment="1">
      <alignment vertical="center"/>
    </xf>
    <xf numFmtId="0" fontId="48" fillId="0" borderId="0" xfId="0" applyFont="1" applyAlignment="1">
      <alignment vertical="center" wrapText="1"/>
    </xf>
    <xf numFmtId="49" fontId="47" fillId="0" borderId="0" xfId="0" applyNumberFormat="1" applyFont="1" applyAlignment="1">
      <alignment vertical="center" wrapText="1"/>
    </xf>
    <xf numFmtId="49" fontId="47" fillId="0" borderId="0" xfId="0" applyNumberFormat="1" applyFont="1" applyAlignment="1">
      <alignment vertical="top"/>
    </xf>
    <xf numFmtId="0" fontId="89" fillId="0" borderId="0" xfId="0" applyFont="1" applyAlignment="1">
      <alignment vertical="center" wrapText="1"/>
    </xf>
    <xf numFmtId="0" fontId="97" fillId="0" borderId="0" xfId="0" applyFont="1" applyAlignment="1">
      <alignment vertical="center" wrapText="1"/>
    </xf>
    <xf numFmtId="0" fontId="47" fillId="0" borderId="0" xfId="0" applyFont="1" applyAlignment="1">
      <alignment vertical="center" wrapText="1"/>
    </xf>
    <xf numFmtId="0" fontId="89" fillId="0" borderId="0" xfId="0" applyFont="1" applyAlignment="1">
      <alignment horizontal="center" vertical="center" wrapText="1"/>
    </xf>
    <xf numFmtId="0" fontId="47" fillId="0" borderId="0" xfId="0" applyFont="1" applyAlignment="1">
      <alignment vertical="center" wrapText="1"/>
    </xf>
    <xf numFmtId="14" fontId="23" fillId="35" borderId="0" xfId="0" applyNumberFormat="1" applyFont="1" applyFill="1" applyAlignment="1">
      <alignment horizontal="left" vertical="center" wrapText="1"/>
    </xf>
    <xf numFmtId="49" fontId="0" fillId="5" borderId="14" xfId="0" applyNumberFormat="1" applyFont="1" applyFill="1" applyBorder="1" applyAlignment="1">
      <alignment vertical="top"/>
    </xf>
    <xf numFmtId="49" fontId="0" fillId="0" borderId="12" xfId="0" applyNumberFormat="1" applyFont="1" applyBorder="1" applyAlignment="1">
      <alignment horizontal="left" vertical="center" wrapText="1"/>
    </xf>
    <xf numFmtId="49" fontId="23" fillId="0" borderId="0" xfId="0" applyNumberFormat="1" applyFont="1" applyAlignment="1">
      <alignment vertical="center" wrapText="1"/>
    </xf>
    <xf numFmtId="0" fontId="0" fillId="0" borderId="12" xfId="0" applyFont="1" applyBorder="1" applyAlignment="1">
      <alignment horizontal="left" vertical="center" wrapText="1" indent="1"/>
    </xf>
    <xf numFmtId="49" fontId="0" fillId="35" borderId="12" xfId="0" applyNumberFormat="1" applyFont="1" applyFill="1" applyBorder="1" applyAlignment="1">
      <alignment horizontal="center" vertical="center" wrapText="1"/>
    </xf>
    <xf numFmtId="0" fontId="0" fillId="35" borderId="12" xfId="0" applyFont="1" applyFill="1" applyBorder="1" applyAlignment="1">
      <alignment horizontal="center" vertical="center" wrapText="1"/>
    </xf>
    <xf numFmtId="0" fontId="0" fillId="39" borderId="14" xfId="0" applyFont="1" applyFill="1" applyBorder="1" applyAlignment="1" applyProtection="1">
      <alignment horizontal="left" vertical="center" wrapText="1" indent="2"/>
      <protection locked="0"/>
    </xf>
    <xf numFmtId="0" fontId="23" fillId="0" borderId="15" xfId="0" applyFont="1" applyBorder="1" applyAlignment="1">
      <alignment horizontal="right" vertical="center" wrapText="1" indent="1"/>
    </xf>
    <xf numFmtId="0" fontId="23" fillId="0" borderId="13" xfId="0" applyFont="1" applyBorder="1" applyAlignment="1">
      <alignment horizontal="right" vertical="center" wrapText="1" indent="1"/>
    </xf>
    <xf numFmtId="0" fontId="98" fillId="35" borderId="0" xfId="0" applyFont="1" applyFill="1" applyAlignment="1">
      <alignment horizontal="right" vertical="center"/>
    </xf>
    <xf numFmtId="49" fontId="96" fillId="0" borderId="13" xfId="0" applyNumberFormat="1" applyFont="1" applyBorder="1" applyAlignment="1">
      <alignment horizontal="left" vertical="top" wrapText="1"/>
    </xf>
    <xf numFmtId="49" fontId="96" fillId="0" borderId="14" xfId="0" applyNumberFormat="1" applyFont="1" applyBorder="1" applyAlignment="1">
      <alignment horizontal="left" vertical="top" wrapText="1"/>
    </xf>
    <xf numFmtId="0" fontId="96" fillId="0" borderId="17" xfId="0" applyFont="1" applyBorder="1" applyAlignment="1">
      <alignment vertical="top" wrapText="1"/>
    </xf>
    <xf numFmtId="0" fontId="96" fillId="0" borderId="36" xfId="0" applyFont="1" applyBorder="1" applyAlignment="1">
      <alignment horizontal="left" vertical="top" wrapText="1"/>
    </xf>
    <xf numFmtId="49" fontId="96" fillId="0" borderId="30" xfId="0" applyNumberFormat="1" applyFont="1" applyBorder="1" applyAlignment="1">
      <alignment horizontal="left" vertical="top" wrapText="1"/>
    </xf>
    <xf numFmtId="49" fontId="47" fillId="0" borderId="0" xfId="0" applyNumberFormat="1" applyFont="1" applyAlignment="1">
      <alignment horizontal="center" vertical="center" wrapText="1"/>
    </xf>
    <xf numFmtId="49" fontId="48" fillId="0" borderId="0" xfId="0" applyNumberFormat="1" applyFont="1" applyAlignment="1">
      <alignment horizontal="center" vertical="center" wrapText="1"/>
    </xf>
    <xf numFmtId="0" fontId="23" fillId="0" borderId="12" xfId="0" applyFont="1" applyBorder="1" applyAlignment="1">
      <alignment horizontal="left" vertical="center" wrapText="1"/>
    </xf>
    <xf numFmtId="49" fontId="96" fillId="0" borderId="12" xfId="0" applyNumberFormat="1" applyFont="1" applyBorder="1" applyAlignment="1">
      <alignment horizontal="center" vertical="top" wrapText="1"/>
    </xf>
    <xf numFmtId="0" fontId="96" fillId="41" borderId="12" xfId="0" applyFont="1" applyFill="1" applyBorder="1" applyAlignment="1">
      <alignment horizontal="center" vertical="center" wrapText="1"/>
    </xf>
    <xf numFmtId="49" fontId="96" fillId="0" borderId="37" xfId="0" applyNumberFormat="1" applyFont="1" applyBorder="1" applyAlignment="1">
      <alignment horizontal="center" vertical="top" wrapText="1"/>
    </xf>
    <xf numFmtId="49" fontId="96" fillId="0" borderId="17" xfId="0" applyNumberFormat="1" applyFont="1" applyBorder="1" applyAlignment="1">
      <alignment horizontal="center" vertical="top" wrapText="1"/>
    </xf>
    <xf numFmtId="49" fontId="40" fillId="37" borderId="14" xfId="0" applyNumberFormat="1" applyFont="1" applyFill="1" applyBorder="1" applyAlignment="1">
      <alignment horizontal="left" vertical="center" indent="1"/>
    </xf>
    <xf numFmtId="0" fontId="0" fillId="35" borderId="17" xfId="0" applyFont="1" applyFill="1" applyBorder="1" applyAlignment="1">
      <alignment horizontal="center" vertical="center" wrapText="1"/>
    </xf>
    <xf numFmtId="0" fontId="23" fillId="35" borderId="17" xfId="0" applyFont="1" applyFill="1" applyBorder="1" applyAlignment="1">
      <alignment horizontal="center" vertical="center" wrapText="1"/>
    </xf>
    <xf numFmtId="49" fontId="99" fillId="0" borderId="0" xfId="0" applyNumberFormat="1" applyFont="1" applyAlignment="1">
      <alignment horizontal="center" vertical="center" wrapText="1"/>
    </xf>
    <xf numFmtId="0" fontId="23" fillId="0" borderId="0" xfId="0" applyFont="1" applyAlignment="1">
      <alignment vertical="center" wrapText="1"/>
    </xf>
    <xf numFmtId="49" fontId="23" fillId="0" borderId="0" xfId="0" applyNumberFormat="1" applyFont="1" applyAlignment="1">
      <alignment vertical="top"/>
    </xf>
    <xf numFmtId="0" fontId="23" fillId="35" borderId="0" xfId="0" applyFont="1" applyFill="1" applyAlignment="1">
      <alignment vertical="center" wrapText="1"/>
    </xf>
    <xf numFmtId="0" fontId="23" fillId="0" borderId="38" xfId="0" applyFont="1" applyBorder="1" applyAlignment="1">
      <alignment vertical="center" wrapText="1"/>
    </xf>
    <xf numFmtId="0" fontId="47" fillId="0" borderId="0" xfId="0" applyFont="1" applyAlignment="1">
      <alignment vertical="center" wrapText="1"/>
    </xf>
    <xf numFmtId="49" fontId="23" fillId="0" borderId="0" xfId="0" applyNumberFormat="1" applyFont="1" applyAlignment="1">
      <alignment vertical="top"/>
    </xf>
    <xf numFmtId="0" fontId="23" fillId="35" borderId="0" xfId="0" applyFont="1" applyFill="1" applyAlignment="1">
      <alignment vertical="center" wrapText="1"/>
    </xf>
    <xf numFmtId="49" fontId="23" fillId="0" borderId="0" xfId="0" applyNumberFormat="1" applyFont="1" applyAlignment="1">
      <alignment vertical="top"/>
    </xf>
    <xf numFmtId="0" fontId="23" fillId="0" borderId="0" xfId="0" applyFont="1" applyAlignment="1">
      <alignment vertical="center"/>
    </xf>
    <xf numFmtId="0" fontId="0" fillId="35" borderId="17" xfId="0" applyFont="1" applyFill="1" applyBorder="1" applyAlignment="1">
      <alignment horizontal="center" vertical="center" wrapText="1"/>
    </xf>
    <xf numFmtId="0" fontId="0" fillId="35" borderId="37" xfId="0" applyFont="1" applyFill="1" applyBorder="1" applyAlignment="1">
      <alignment horizontal="center" vertical="center" wrapText="1"/>
    </xf>
    <xf numFmtId="0" fontId="23" fillId="37" borderId="29" xfId="0" applyFont="1" applyFill="1" applyBorder="1" applyAlignment="1">
      <alignment vertical="center" wrapText="1"/>
    </xf>
    <xf numFmtId="0" fontId="23" fillId="0" borderId="0" xfId="0" applyFont="1" applyAlignment="1">
      <alignment vertical="center" wrapText="1"/>
    </xf>
    <xf numFmtId="0" fontId="23" fillId="35" borderId="39" xfId="0" applyFont="1" applyFill="1" applyBorder="1" applyAlignment="1">
      <alignment vertical="center" wrapText="1"/>
    </xf>
    <xf numFmtId="0" fontId="50" fillId="35" borderId="39" xfId="0" applyFont="1" applyFill="1" applyBorder="1" applyAlignment="1">
      <alignment horizontal="center" wrapText="1"/>
    </xf>
    <xf numFmtId="49" fontId="74" fillId="0" borderId="39" xfId="0" applyNumberFormat="1" applyFont="1" applyBorder="1" applyAlignment="1">
      <alignment vertical="top"/>
    </xf>
    <xf numFmtId="49" fontId="45" fillId="0" borderId="0" xfId="0" applyNumberFormat="1" applyFont="1" applyAlignment="1">
      <alignment vertical="center"/>
    </xf>
    <xf numFmtId="49" fontId="100" fillId="0" borderId="0" xfId="0" applyNumberFormat="1" applyFont="1" applyAlignment="1">
      <alignment vertical="center"/>
    </xf>
    <xf numFmtId="49" fontId="45" fillId="0" borderId="0" xfId="0" applyNumberFormat="1" applyFont="1" applyAlignment="1">
      <alignment vertical="center"/>
    </xf>
    <xf numFmtId="49" fontId="45" fillId="0" borderId="0" xfId="0" applyNumberFormat="1" applyFont="1" applyAlignment="1">
      <alignment vertical="center"/>
    </xf>
    <xf numFmtId="49" fontId="45" fillId="0" borderId="0" xfId="0" applyNumberFormat="1" applyFont="1" applyAlignment="1">
      <alignment vertical="center" wrapText="1"/>
    </xf>
    <xf numFmtId="49" fontId="100" fillId="0" borderId="0" xfId="0" applyNumberFormat="1" applyFont="1" applyAlignment="1">
      <alignment vertical="center" wrapText="1"/>
    </xf>
    <xf numFmtId="49" fontId="45" fillId="0" borderId="0" xfId="0" applyNumberFormat="1" applyFont="1" applyAlignment="1">
      <alignment vertical="center" wrapText="1"/>
    </xf>
    <xf numFmtId="49" fontId="45" fillId="0" borderId="0" xfId="0" applyNumberFormat="1" applyFont="1" applyAlignment="1">
      <alignment vertical="top"/>
    </xf>
    <xf numFmtId="49" fontId="45" fillId="0" borderId="0" xfId="0" applyNumberFormat="1" applyFont="1" applyAlignment="1">
      <alignment vertical="center" wrapText="1"/>
    </xf>
    <xf numFmtId="49" fontId="45" fillId="0" borderId="0" xfId="0" applyNumberFormat="1" applyFont="1" applyAlignment="1">
      <alignment horizontal="center" vertical="center" wrapText="1"/>
    </xf>
    <xf numFmtId="49" fontId="100" fillId="0" borderId="0" xfId="0" applyNumberFormat="1" applyFont="1" applyAlignment="1">
      <alignment horizontal="center" vertical="center" wrapText="1"/>
    </xf>
    <xf numFmtId="49" fontId="45" fillId="0" borderId="0" xfId="0" applyNumberFormat="1" applyFont="1" applyAlignment="1">
      <alignment horizontal="center" vertical="center" wrapText="1"/>
    </xf>
    <xf numFmtId="49" fontId="100" fillId="0" borderId="0" xfId="0" applyNumberFormat="1" applyFont="1" applyAlignment="1">
      <alignment horizontal="center" vertical="center" wrapText="1"/>
    </xf>
    <xf numFmtId="0" fontId="45" fillId="0" borderId="0" xfId="0" applyFont="1" applyAlignment="1">
      <alignment horizontal="center" vertical="center" wrapText="1"/>
    </xf>
    <xf numFmtId="49" fontId="100" fillId="0" borderId="0" xfId="0" applyNumberFormat="1" applyFont="1" applyAlignment="1">
      <alignment vertical="center" wrapText="1"/>
    </xf>
    <xf numFmtId="49" fontId="45" fillId="35" borderId="0" xfId="0" applyNumberFormat="1" applyFont="1" applyFill="1" applyAlignment="1">
      <alignment vertical="center" wrapText="1"/>
    </xf>
    <xf numFmtId="49" fontId="45" fillId="0" borderId="0" xfId="0" applyNumberFormat="1" applyFont="1" applyAlignment="1">
      <alignment vertical="top"/>
    </xf>
    <xf numFmtId="49" fontId="45" fillId="35" borderId="0" xfId="0" applyNumberFormat="1" applyFont="1" applyFill="1" applyAlignment="1">
      <alignment vertical="center"/>
    </xf>
    <xf numFmtId="49" fontId="100" fillId="0" borderId="0" xfId="0" applyNumberFormat="1" applyFont="1" applyAlignment="1">
      <alignment vertical="center"/>
    </xf>
    <xf numFmtId="49" fontId="45" fillId="0" borderId="0" xfId="0" applyNumberFormat="1" applyFont="1" applyAlignment="1">
      <alignment vertical="top"/>
    </xf>
    <xf numFmtId="4" fontId="45" fillId="35" borderId="0" xfId="0" applyNumberFormat="1" applyFont="1" applyFill="1" applyAlignment="1">
      <alignment vertical="center"/>
    </xf>
    <xf numFmtId="49" fontId="32" fillId="0" borderId="0" xfId="0" applyNumberFormat="1" applyFont="1" applyAlignment="1">
      <alignment horizontal="center" vertical="center" wrapText="1"/>
    </xf>
    <xf numFmtId="49" fontId="23" fillId="0" borderId="0" xfId="0" applyNumberFormat="1" applyFont="1" applyAlignment="1">
      <alignment horizontal="center" vertical="center" wrapText="1"/>
    </xf>
    <xf numFmtId="49" fontId="23" fillId="35" borderId="0" xfId="0" applyNumberFormat="1" applyFont="1" applyFill="1" applyAlignment="1">
      <alignment horizontal="center" vertical="center" wrapText="1"/>
    </xf>
    <xf numFmtId="49" fontId="48" fillId="0" borderId="13" xfId="0" applyNumberFormat="1" applyFont="1" applyBorder="1" applyAlignment="1">
      <alignment horizontal="left" vertical="center" indent="1"/>
    </xf>
    <xf numFmtId="0" fontId="23" fillId="0" borderId="24" xfId="0" applyFont="1" applyBorder="1" applyAlignment="1">
      <alignment vertical="top" wrapText="1"/>
    </xf>
    <xf numFmtId="0" fontId="23" fillId="0" borderId="14" xfId="0" applyFont="1" applyBorder="1" applyAlignment="1">
      <alignment horizontal="center" vertical="center" wrapText="1"/>
    </xf>
    <xf numFmtId="0" fontId="23" fillId="0" borderId="17" xfId="0" applyFont="1" applyBorder="1" applyAlignment="1">
      <alignment horizontal="center" vertical="center" wrapText="1"/>
    </xf>
    <xf numFmtId="0" fontId="23" fillId="0" borderId="12" xfId="0" applyFont="1" applyBorder="1" applyAlignment="1">
      <alignment horizontal="center" vertical="center" wrapText="1"/>
    </xf>
    <xf numFmtId="49" fontId="47" fillId="0" borderId="0" xfId="0" applyNumberFormat="1" applyFont="1" applyAlignment="1">
      <alignment horizontal="center" vertical="center" wrapText="1"/>
    </xf>
    <xf numFmtId="49" fontId="48" fillId="0" borderId="0" xfId="0" applyNumberFormat="1" applyFont="1" applyAlignment="1">
      <alignment horizontal="center" vertical="center" wrapText="1"/>
    </xf>
    <xf numFmtId="49" fontId="23" fillId="0" borderId="12" xfId="0" applyNumberFormat="1" applyFont="1" applyBorder="1" applyAlignment="1">
      <alignment horizontal="center" vertical="center" wrapText="1"/>
    </xf>
    <xf numFmtId="0" fontId="23" fillId="0" borderId="12" xfId="0" applyFont="1" applyBorder="1" applyAlignment="1">
      <alignment horizontal="left" vertical="center" wrapText="1" indent="1"/>
    </xf>
    <xf numFmtId="49" fontId="23" fillId="39" borderId="12" xfId="0" applyNumberFormat="1" applyFont="1" applyFill="1" applyBorder="1" applyAlignment="1" applyProtection="1">
      <alignment horizontal="left" vertical="center" wrapText="1"/>
      <protection locked="0"/>
    </xf>
    <xf numFmtId="0" fontId="37" fillId="0" borderId="0" xfId="0" applyFont="1" applyAlignment="1">
      <alignment horizontal="center" vertical="center" wrapText="1"/>
    </xf>
    <xf numFmtId="49" fontId="92" fillId="0" borderId="12" xfId="0" applyNumberFormat="1" applyFont="1" applyBorder="1" applyAlignment="1">
      <alignment horizontal="center" vertical="center" wrapText="1"/>
    </xf>
    <xf numFmtId="0" fontId="92" fillId="0" borderId="12" xfId="0" applyFont="1" applyBorder="1" applyAlignment="1">
      <alignment horizontal="center" vertical="center" wrapText="1"/>
    </xf>
    <xf numFmtId="49" fontId="92" fillId="0" borderId="17" xfId="0" applyNumberFormat="1" applyFont="1" applyBorder="1" applyAlignment="1">
      <alignment horizontal="center" vertical="center" wrapText="1"/>
    </xf>
    <xf numFmtId="49" fontId="92" fillId="0" borderId="23" xfId="0" applyNumberFormat="1" applyFont="1" applyBorder="1" applyAlignment="1">
      <alignment horizontal="center" vertical="center" wrapText="1"/>
    </xf>
    <xf numFmtId="0" fontId="92" fillId="0" borderId="17" xfId="0" applyFont="1" applyBorder="1" applyAlignment="1">
      <alignment horizontal="center" vertical="center" wrapText="1"/>
    </xf>
    <xf numFmtId="49" fontId="96" fillId="0" borderId="22" xfId="0" applyNumberFormat="1" applyFont="1" applyBorder="1" applyAlignment="1">
      <alignment horizontal="center" vertical="top" wrapText="1"/>
    </xf>
    <xf numFmtId="49" fontId="96" fillId="0" borderId="36" xfId="0" applyNumberFormat="1" applyFont="1" applyBorder="1" applyAlignment="1">
      <alignment horizontal="left" vertical="top" wrapText="1"/>
    </xf>
    <xf numFmtId="0" fontId="92" fillId="0" borderId="12" xfId="0" applyFont="1" applyBorder="1" applyAlignment="1">
      <alignment vertical="center" wrapText="1"/>
    </xf>
    <xf numFmtId="0" fontId="92" fillId="0" borderId="17" xfId="0" applyFont="1" applyBorder="1" applyAlignment="1">
      <alignment vertical="center" wrapText="1"/>
    </xf>
    <xf numFmtId="0" fontId="92" fillId="0" borderId="23" xfId="0" applyFont="1" applyBorder="1" applyAlignment="1">
      <alignment vertical="center" wrapText="1"/>
    </xf>
    <xf numFmtId="49" fontId="92" fillId="0" borderId="12" xfId="0" applyNumberFormat="1" applyFont="1" applyBorder="1" applyAlignment="1">
      <alignment horizontal="left" vertical="top" wrapText="1"/>
    </xf>
    <xf numFmtId="178" fontId="23" fillId="39" borderId="17" xfId="0" applyNumberFormat="1" applyFont="1" applyFill="1" applyBorder="1" applyAlignment="1" applyProtection="1">
      <alignment horizontal="right" vertical="center" wrapText="1"/>
      <protection locked="0"/>
    </xf>
    <xf numFmtId="0" fontId="23" fillId="0" borderId="13" xfId="0" applyFont="1" applyBorder="1" applyAlignment="1">
      <alignment horizontal="center" vertical="center" wrapText="1"/>
    </xf>
    <xf numFmtId="0" fontId="23" fillId="0" borderId="20" xfId="0" applyFont="1" applyBorder="1" applyAlignment="1">
      <alignment horizontal="center" vertical="center" wrapText="1"/>
    </xf>
    <xf numFmtId="49" fontId="23" fillId="37" borderId="37" xfId="0" applyNumberFormat="1" applyFont="1" applyFill="1" applyBorder="1" applyAlignment="1">
      <alignment vertical="center" wrapText="1"/>
    </xf>
    <xf numFmtId="49" fontId="40" fillId="37" borderId="19" xfId="0" applyNumberFormat="1" applyFont="1" applyFill="1" applyBorder="1" applyAlignment="1">
      <alignment horizontal="left" vertical="center" indent="1"/>
    </xf>
    <xf numFmtId="49" fontId="23" fillId="37" borderId="37" xfId="0" applyNumberFormat="1" applyFont="1" applyFill="1" applyBorder="1" applyAlignment="1">
      <alignment vertical="center" wrapText="1"/>
    </xf>
    <xf numFmtId="49" fontId="40" fillId="37" borderId="19" xfId="0" applyNumberFormat="1" applyFont="1" applyFill="1" applyBorder="1" applyAlignment="1">
      <alignment horizontal="left" vertical="center" indent="1"/>
    </xf>
    <xf numFmtId="0" fontId="73" fillId="0" borderId="0" xfId="0" applyFont="1" applyAlignment="1">
      <alignment horizontal="center" vertical="center" wrapText="1"/>
    </xf>
    <xf numFmtId="4" fontId="23" fillId="39" borderId="13" xfId="0" applyNumberFormat="1" applyFont="1" applyFill="1" applyBorder="1" applyAlignment="1" applyProtection="1">
      <alignment horizontal="right" vertical="center" wrapText="1"/>
      <protection locked="0"/>
    </xf>
    <xf numFmtId="178" fontId="23" fillId="39" borderId="13" xfId="0" applyNumberFormat="1" applyFont="1" applyFill="1" applyBorder="1" applyAlignment="1" applyProtection="1">
      <alignment horizontal="right" vertical="center" wrapText="1"/>
      <protection locked="0"/>
    </xf>
    <xf numFmtId="178" fontId="23" fillId="34" borderId="13" xfId="0" applyNumberFormat="1" applyFont="1" applyFill="1" applyBorder="1" applyAlignment="1">
      <alignment horizontal="right" vertical="center" wrapText="1"/>
    </xf>
    <xf numFmtId="4" fontId="23" fillId="39" borderId="29" xfId="0" applyNumberFormat="1" applyFont="1" applyFill="1" applyBorder="1" applyAlignment="1" applyProtection="1">
      <alignment horizontal="right" vertical="center" wrapText="1"/>
      <protection locked="0"/>
    </xf>
    <xf numFmtId="49" fontId="92" fillId="41" borderId="12" xfId="0" applyNumberFormat="1" applyFont="1" applyFill="1" applyBorder="1" applyAlignment="1">
      <alignment horizontal="center" vertical="top"/>
    </xf>
    <xf numFmtId="49" fontId="96" fillId="0" borderId="0" xfId="0" applyNumberFormat="1" applyFont="1" applyAlignment="1">
      <alignment vertical="top"/>
    </xf>
    <xf numFmtId="49" fontId="92" fillId="0" borderId="12" xfId="0" applyNumberFormat="1" applyFont="1" applyBorder="1" applyAlignment="1">
      <alignment horizontal="center" vertical="top" wrapText="1"/>
    </xf>
    <xf numFmtId="49" fontId="92" fillId="0" borderId="12" xfId="0" applyNumberFormat="1" applyFont="1" applyBorder="1" applyAlignment="1">
      <alignment vertical="top" wrapText="1"/>
    </xf>
    <xf numFmtId="0" fontId="92" fillId="0" borderId="12" xfId="0" applyFont="1" applyBorder="1" applyAlignment="1">
      <alignment vertical="top" wrapText="1"/>
    </xf>
    <xf numFmtId="49" fontId="92" fillId="0" borderId="12" xfId="0" applyNumberFormat="1" applyFont="1" applyBorder="1" applyAlignment="1">
      <alignment vertical="top"/>
    </xf>
    <xf numFmtId="49" fontId="96" fillId="0" borderId="12" xfId="0" applyNumberFormat="1" applyFont="1" applyBorder="1" applyAlignment="1">
      <alignment vertical="top"/>
    </xf>
    <xf numFmtId="49" fontId="92" fillId="0" borderId="0" xfId="0" applyNumberFormat="1" applyFont="1" applyAlignment="1">
      <alignment horizontal="center" vertical="center" wrapText="1"/>
    </xf>
    <xf numFmtId="49" fontId="92" fillId="0" borderId="0" xfId="0" applyNumberFormat="1" applyFont="1" applyAlignment="1">
      <alignment horizontal="left" vertical="center" wrapText="1"/>
    </xf>
    <xf numFmtId="49" fontId="92" fillId="46" borderId="0" xfId="0" applyNumberFormat="1" applyFont="1" applyFill="1" applyAlignment="1">
      <alignment horizontal="center" vertical="center" wrapText="1"/>
    </xf>
    <xf numFmtId="0" fontId="92" fillId="0" borderId="0" xfId="0" applyFont="1" applyAlignment="1">
      <alignment vertical="center" wrapText="1"/>
    </xf>
    <xf numFmtId="0" fontId="48" fillId="0" borderId="12" xfId="0" applyFont="1" applyBorder="1" applyAlignment="1">
      <alignment horizontal="left" vertical="center" wrapText="1" indent="3"/>
    </xf>
    <xf numFmtId="49" fontId="48" fillId="0" borderId="12" xfId="0" applyNumberFormat="1" applyFont="1" applyBorder="1" applyAlignment="1">
      <alignment vertical="center" wrapText="1"/>
    </xf>
    <xf numFmtId="0" fontId="48" fillId="0" borderId="17" xfId="0" applyFont="1" applyBorder="1" applyAlignment="1">
      <alignment vertical="top" wrapText="1"/>
    </xf>
    <xf numFmtId="0" fontId="48" fillId="0" borderId="36" xfId="0" applyFont="1" applyBorder="1" applyAlignment="1">
      <alignment horizontal="left" vertical="center" wrapText="1" indent="1"/>
    </xf>
    <xf numFmtId="0" fontId="48" fillId="0" borderId="36" xfId="0" applyFont="1" applyBorder="1" applyAlignment="1">
      <alignment horizontal="center" vertical="center" wrapText="1"/>
    </xf>
    <xf numFmtId="0" fontId="48" fillId="0" borderId="17" xfId="0" applyFont="1" applyBorder="1" applyAlignment="1">
      <alignment vertical="center" wrapText="1"/>
    </xf>
    <xf numFmtId="0" fontId="48" fillId="0" borderId="23" xfId="0" applyFont="1" applyBorder="1" applyAlignment="1">
      <alignment horizontal="left" vertical="center" wrapText="1" indent="1"/>
    </xf>
    <xf numFmtId="0" fontId="48" fillId="0" borderId="17" xfId="0" applyFont="1" applyBorder="1" applyAlignment="1">
      <alignment horizontal="left" vertical="center" wrapText="1" indent="1"/>
    </xf>
    <xf numFmtId="49" fontId="96" fillId="41" borderId="12" xfId="0" applyNumberFormat="1" applyFont="1" applyFill="1" applyBorder="1" applyAlignment="1">
      <alignment horizontal="center" vertical="top" wrapText="1"/>
    </xf>
    <xf numFmtId="49" fontId="96" fillId="41" borderId="12" xfId="0" applyNumberFormat="1" applyFont="1" applyFill="1" applyBorder="1" applyAlignment="1">
      <alignment horizontal="left" vertical="top" wrapText="1"/>
    </xf>
    <xf numFmtId="49" fontId="96" fillId="41" borderId="0" xfId="0" applyNumberFormat="1" applyFont="1" applyFill="1" applyAlignment="1">
      <alignment horizontal="left" vertical="top" wrapText="1"/>
    </xf>
    <xf numFmtId="0" fontId="92" fillId="0" borderId="14" xfId="0" applyFont="1" applyBorder="1" applyAlignment="1">
      <alignment horizontal="center" vertical="center" wrapText="1"/>
    </xf>
    <xf numFmtId="0" fontId="23" fillId="0" borderId="23" xfId="0" applyFont="1" applyBorder="1" applyAlignment="1">
      <alignment vertical="top" wrapText="1"/>
    </xf>
    <xf numFmtId="0" fontId="23" fillId="0" borderId="23" xfId="0" applyFont="1" applyBorder="1" applyAlignment="1">
      <alignment vertical="top" wrapText="1"/>
    </xf>
    <xf numFmtId="0" fontId="92" fillId="0" borderId="14" xfId="0" applyFont="1" applyBorder="1" applyAlignment="1">
      <alignment horizontal="center" vertical="center"/>
    </xf>
    <xf numFmtId="49" fontId="48" fillId="35" borderId="12" xfId="0" applyNumberFormat="1" applyFont="1" applyFill="1" applyBorder="1" applyAlignment="1">
      <alignment horizontal="center" vertical="center"/>
    </xf>
    <xf numFmtId="0" fontId="48" fillId="35" borderId="12" xfId="0" applyFont="1" applyFill="1" applyBorder="1" applyAlignment="1">
      <alignment horizontal="left" vertical="center" wrapText="1" indent="1"/>
    </xf>
    <xf numFmtId="0" fontId="48" fillId="35" borderId="12" xfId="0" applyFont="1" applyFill="1" applyBorder="1" applyAlignment="1">
      <alignment vertical="center" wrapText="1"/>
    </xf>
    <xf numFmtId="49" fontId="48" fillId="0" borderId="12" xfId="0" applyNumberFormat="1" applyFont="1" applyBorder="1" applyAlignment="1">
      <alignment horizontal="center" vertical="center"/>
    </xf>
    <xf numFmtId="0" fontId="48" fillId="0" borderId="12" xfId="0" applyFont="1" applyBorder="1" applyAlignment="1">
      <alignment horizontal="left" vertical="center" wrapText="1" indent="1"/>
    </xf>
    <xf numFmtId="0" fontId="48" fillId="0" borderId="12" xfId="0" applyFont="1" applyBorder="1" applyAlignment="1">
      <alignment horizontal="left" vertical="center" wrapText="1"/>
    </xf>
    <xf numFmtId="0" fontId="48" fillId="0" borderId="12" xfId="0" applyFont="1" applyBorder="1" applyAlignment="1">
      <alignment vertical="center" wrapText="1"/>
    </xf>
    <xf numFmtId="0" fontId="48" fillId="0" borderId="12" xfId="0" applyFont="1" applyBorder="1" applyAlignment="1">
      <alignment horizontal="center" vertical="center" wrapText="1"/>
    </xf>
    <xf numFmtId="0" fontId="48" fillId="35" borderId="12" xfId="0" applyFont="1" applyFill="1" applyBorder="1" applyAlignment="1">
      <alignment horizontal="left" vertical="center" wrapText="1" indent="2"/>
    </xf>
    <xf numFmtId="49" fontId="48" fillId="0" borderId="12" xfId="0" applyNumberFormat="1" applyFont="1" applyBorder="1" applyAlignment="1">
      <alignment horizontal="left" vertical="center" wrapText="1"/>
    </xf>
    <xf numFmtId="49" fontId="48" fillId="0" borderId="12" xfId="0" applyNumberFormat="1" applyFont="1" applyBorder="1" applyAlignment="1">
      <alignment horizontal="left" vertical="center" wrapText="1"/>
    </xf>
    <xf numFmtId="2" fontId="23" fillId="0" borderId="23" xfId="0" applyNumberFormat="1" applyFont="1" applyBorder="1" applyAlignment="1">
      <alignment horizontal="center" vertical="center" wrapText="1"/>
    </xf>
    <xf numFmtId="0" fontId="101" fillId="0" borderId="0" xfId="0" applyFont="1" applyAlignment="1">
      <alignment horizontal="center" vertical="center" wrapText="1"/>
    </xf>
    <xf numFmtId="0" fontId="102" fillId="35" borderId="0" xfId="0" applyFont="1" applyFill="1" applyAlignment="1">
      <alignment horizontal="right" vertical="center"/>
    </xf>
    <xf numFmtId="0" fontId="23" fillId="0" borderId="23" xfId="0" applyFont="1" applyBorder="1" applyAlignment="1">
      <alignment horizontal="left" vertical="center" wrapText="1"/>
    </xf>
    <xf numFmtId="49" fontId="47" fillId="0" borderId="0" xfId="0" applyNumberFormat="1" applyFont="1" applyAlignment="1">
      <alignment horizontal="center" vertical="center" wrapText="1"/>
    </xf>
    <xf numFmtId="0" fontId="48" fillId="0" borderId="27" xfId="0" applyFont="1" applyBorder="1" applyAlignment="1">
      <alignment vertical="center" wrapText="1"/>
    </xf>
    <xf numFmtId="49" fontId="54" fillId="0" borderId="14" xfId="0" applyNumberFormat="1" applyFont="1" applyBorder="1" applyAlignment="1">
      <alignment horizontal="left" vertical="center" wrapText="1"/>
    </xf>
    <xf numFmtId="49" fontId="54" fillId="0" borderId="15" xfId="0" applyNumberFormat="1" applyFont="1" applyBorder="1" applyAlignment="1">
      <alignment horizontal="left" vertical="center" wrapText="1"/>
    </xf>
    <xf numFmtId="49" fontId="48" fillId="0" borderId="0" xfId="0" applyNumberFormat="1" applyFont="1" applyAlignment="1">
      <alignment horizontal="center" vertical="center" wrapText="1"/>
    </xf>
    <xf numFmtId="0" fontId="48" fillId="0" borderId="0" xfId="0" applyFont="1" applyAlignment="1">
      <alignment horizontal="center" vertical="center" wrapText="1"/>
    </xf>
    <xf numFmtId="4" fontId="23" fillId="0" borderId="17" xfId="0" applyNumberFormat="1" applyFont="1" applyBorder="1" applyAlignment="1">
      <alignment horizontal="center" vertical="center" wrapText="1"/>
    </xf>
    <xf numFmtId="4" fontId="23" fillId="0" borderId="32" xfId="0" applyNumberFormat="1" applyFont="1" applyBorder="1" applyAlignment="1">
      <alignment horizontal="center" vertical="center" wrapText="1"/>
    </xf>
    <xf numFmtId="49" fontId="54" fillId="0" borderId="37" xfId="0" applyNumberFormat="1" applyFont="1" applyBorder="1" applyAlignment="1">
      <alignment horizontal="left" vertical="center" wrapText="1"/>
    </xf>
    <xf numFmtId="49" fontId="54" fillId="0" borderId="30" xfId="0" applyNumberFormat="1" applyFont="1" applyBorder="1" applyAlignment="1">
      <alignment horizontal="left" vertical="center" wrapText="1"/>
    </xf>
    <xf numFmtId="0" fontId="23" fillId="0" borderId="36" xfId="0" applyFont="1" applyBorder="1" applyAlignment="1">
      <alignment vertical="center" wrapText="1"/>
    </xf>
    <xf numFmtId="0" fontId="23" fillId="0" borderId="32" xfId="0" applyFont="1" applyBorder="1" applyAlignment="1">
      <alignment horizontal="left" vertical="center" wrapText="1"/>
    </xf>
    <xf numFmtId="49" fontId="47" fillId="0" borderId="0" xfId="0" applyNumberFormat="1" applyFont="1" applyAlignment="1">
      <alignment horizontal="center" vertical="center" wrapText="1"/>
    </xf>
    <xf numFmtId="0" fontId="23" fillId="0" borderId="0" xfId="0" applyFont="1" applyAlignment="1">
      <alignment vertical="top" wrapText="1"/>
    </xf>
    <xf numFmtId="0" fontId="23" fillId="0" borderId="0" xfId="0" applyFont="1" applyAlignment="1">
      <alignment vertical="top"/>
    </xf>
    <xf numFmtId="4" fontId="23" fillId="0" borderId="40" xfId="0" applyNumberFormat="1" applyFont="1" applyBorder="1" applyAlignment="1">
      <alignment horizontal="center" vertical="center" wrapText="1"/>
    </xf>
    <xf numFmtId="0" fontId="48" fillId="0" borderId="0" xfId="0" applyFont="1" applyAlignment="1">
      <alignment horizontal="center" vertical="top"/>
    </xf>
    <xf numFmtId="49" fontId="48" fillId="0" borderId="0" xfId="0" applyNumberFormat="1" applyFont="1" applyAlignment="1">
      <alignment vertical="top"/>
    </xf>
    <xf numFmtId="0" fontId="48" fillId="0" borderId="23" xfId="0" applyFont="1" applyBorder="1" applyAlignment="1">
      <alignment vertical="center" wrapText="1"/>
    </xf>
    <xf numFmtId="4" fontId="48" fillId="0" borderId="12" xfId="0" applyNumberFormat="1" applyFont="1" applyBorder="1" applyAlignment="1">
      <alignment horizontal="right" vertical="center" wrapText="1"/>
    </xf>
    <xf numFmtId="2" fontId="48" fillId="0" borderId="23" xfId="0" applyNumberFormat="1" applyFont="1" applyBorder="1" applyAlignment="1">
      <alignment horizontal="center" vertical="center" wrapText="1"/>
    </xf>
    <xf numFmtId="0" fontId="48" fillId="0" borderId="12" xfId="0" applyFont="1" applyBorder="1" applyAlignment="1">
      <alignment horizontal="left" vertical="center" wrapText="1"/>
    </xf>
    <xf numFmtId="49" fontId="48" fillId="0" borderId="14" xfId="0" applyNumberFormat="1" applyFont="1" applyBorder="1" applyAlignment="1">
      <alignment horizontal="left" vertical="center"/>
    </xf>
    <xf numFmtId="49" fontId="48" fillId="0" borderId="15" xfId="0" applyNumberFormat="1" applyFont="1" applyBorder="1" applyAlignment="1">
      <alignment horizontal="left" vertical="center" indent="1"/>
    </xf>
    <xf numFmtId="49" fontId="48" fillId="0" borderId="15" xfId="0" applyNumberFormat="1" applyFont="1" applyBorder="1" applyAlignment="1">
      <alignment horizontal="left" vertical="center"/>
    </xf>
    <xf numFmtId="0" fontId="48" fillId="0" borderId="12" xfId="0" applyFont="1" applyBorder="1" applyAlignment="1">
      <alignment horizontal="left" vertical="center" indent="1"/>
    </xf>
    <xf numFmtId="49" fontId="40" fillId="0" borderId="19" xfId="0" applyNumberFormat="1" applyFont="1" applyBorder="1" applyAlignment="1">
      <alignment horizontal="right" vertical="center"/>
    </xf>
    <xf numFmtId="0" fontId="23" fillId="40" borderId="12" xfId="0" applyFont="1" applyFill="1" applyBorder="1" applyAlignment="1">
      <alignment horizontal="left" vertical="center" wrapText="1" indent="1"/>
    </xf>
    <xf numFmtId="0" fontId="23" fillId="0" borderId="12" xfId="0" applyFont="1" applyBorder="1" applyAlignment="1">
      <alignment horizontal="center" vertical="center" wrapText="1"/>
    </xf>
    <xf numFmtId="0" fontId="48" fillId="0" borderId="0" xfId="0" applyFont="1" applyAlignment="1">
      <alignment horizontal="center" vertical="center" wrapText="1"/>
    </xf>
    <xf numFmtId="49" fontId="47" fillId="0" borderId="0" xfId="0" applyNumberFormat="1" applyFont="1" applyAlignment="1">
      <alignment horizontal="center" vertical="center" wrapText="1"/>
    </xf>
    <xf numFmtId="49" fontId="48" fillId="0" borderId="0" xfId="0" applyNumberFormat="1" applyFont="1" applyAlignment="1">
      <alignment horizontal="center" vertical="center" wrapText="1"/>
    </xf>
    <xf numFmtId="0" fontId="62" fillId="35" borderId="0" xfId="0" applyFont="1" applyFill="1" applyAlignment="1">
      <alignment horizontal="left" vertical="center" wrapText="1" indent="1"/>
    </xf>
    <xf numFmtId="0" fontId="23" fillId="0" borderId="0" xfId="0" applyFont="1" applyAlignment="1">
      <alignment horizontal="left" vertical="center" wrapText="1" indent="1"/>
    </xf>
    <xf numFmtId="49" fontId="54" fillId="36" borderId="13" xfId="0" applyNumberFormat="1" applyFont="1" applyFill="1" applyBorder="1" applyAlignment="1" applyProtection="1">
      <alignment horizontal="left" vertical="center" wrapText="1"/>
      <protection locked="0"/>
    </xf>
    <xf numFmtId="49" fontId="23" fillId="0" borderId="0" xfId="0" applyNumberFormat="1" applyFont="1" applyAlignment="1">
      <alignment horizontal="center" vertical="center" wrapText="1"/>
    </xf>
    <xf numFmtId="0" fontId="23" fillId="0" borderId="19" xfId="0" applyFont="1" applyBorder="1" applyAlignment="1">
      <alignment vertical="center" wrapText="1"/>
    </xf>
    <xf numFmtId="0" fontId="23" fillId="0" borderId="27" xfId="0" applyFont="1" applyBorder="1" applyAlignment="1">
      <alignment vertical="center" wrapText="1"/>
    </xf>
    <xf numFmtId="49" fontId="23" fillId="37" borderId="41" xfId="0" applyNumberFormat="1" applyFont="1" applyFill="1" applyBorder="1" applyAlignment="1">
      <alignment horizontal="center" vertical="center" wrapText="1"/>
    </xf>
    <xf numFmtId="49" fontId="50" fillId="37" borderId="42" xfId="0" applyNumberFormat="1" applyFont="1" applyFill="1" applyBorder="1" applyAlignment="1">
      <alignment horizontal="right" vertical="center" wrapText="1"/>
    </xf>
    <xf numFmtId="49" fontId="50" fillId="37" borderId="43" xfId="0" applyNumberFormat="1" applyFont="1" applyFill="1" applyBorder="1" applyAlignment="1">
      <alignment horizontal="right" vertical="center" wrapText="1"/>
    </xf>
    <xf numFmtId="49" fontId="45" fillId="0" borderId="0" xfId="0" applyNumberFormat="1" applyFont="1" applyAlignment="1">
      <alignment vertical="top"/>
    </xf>
    <xf numFmtId="49" fontId="45" fillId="0" borderId="0" xfId="0" applyNumberFormat="1" applyFont="1" applyAlignment="1">
      <alignment vertical="center" wrapText="1"/>
    </xf>
    <xf numFmtId="0" fontId="45" fillId="0" borderId="0" xfId="0" applyFont="1" applyAlignment="1">
      <alignment vertical="center" wrapText="1"/>
    </xf>
    <xf numFmtId="49" fontId="95" fillId="0" borderId="0" xfId="0" applyNumberFormat="1" applyFont="1" applyAlignment="1">
      <alignment vertical="center" wrapText="1"/>
    </xf>
    <xf numFmtId="49" fontId="0" fillId="0" borderId="0" xfId="0" applyNumberFormat="1" applyFont="1" applyAlignment="1">
      <alignment vertical="center" wrapText="1"/>
    </xf>
    <xf numFmtId="49" fontId="32" fillId="47" borderId="0" xfId="0" applyNumberFormat="1" applyFont="1" applyFill="1" applyAlignment="1">
      <alignment horizontal="center" vertical="center"/>
    </xf>
    <xf numFmtId="0" fontId="0" fillId="48" borderId="0" xfId="0" applyFont="1" applyFill="1" applyAlignment="1">
      <alignment horizontal="left" vertical="center"/>
    </xf>
    <xf numFmtId="0" fontId="0" fillId="49" borderId="12" xfId="0" applyFont="1" applyFill="1" applyBorder="1" applyAlignment="1">
      <alignment horizontal="center" vertical="center"/>
    </xf>
    <xf numFmtId="49" fontId="0" fillId="0" borderId="0" xfId="0" applyNumberFormat="1" applyFont="1" applyAlignment="1">
      <alignment vertical="center"/>
    </xf>
    <xf numFmtId="49" fontId="47" fillId="47" borderId="12" xfId="0" applyNumberFormat="1" applyFont="1" applyFill="1" applyBorder="1" applyAlignment="1">
      <alignment horizontal="center" vertical="center"/>
    </xf>
    <xf numFmtId="49" fontId="47" fillId="50" borderId="12" xfId="0" applyNumberFormat="1" applyFont="1" applyFill="1" applyBorder="1" applyAlignment="1">
      <alignment horizontal="center" vertical="center"/>
    </xf>
    <xf numFmtId="49" fontId="0" fillId="51" borderId="12" xfId="0" applyNumberFormat="1" applyFont="1" applyFill="1" applyBorder="1" applyAlignment="1">
      <alignment horizontal="center" vertical="center"/>
    </xf>
    <xf numFmtId="49" fontId="23" fillId="0" borderId="0" xfId="0" applyNumberFormat="1" applyFont="1" applyAlignment="1">
      <alignment vertical="top"/>
    </xf>
    <xf numFmtId="0" fontId="23" fillId="0" borderId="12" xfId="0" applyFont="1" applyBorder="1" applyAlignment="1">
      <alignment vertical="center"/>
    </xf>
    <xf numFmtId="0" fontId="0" fillId="0" borderId="12" xfId="0" applyFont="1" applyBorder="1" applyAlignment="1">
      <alignment vertical="center"/>
    </xf>
    <xf numFmtId="0" fontId="0" fillId="0" borderId="12" xfId="0" applyFont="1" applyBorder="1" applyAlignment="1">
      <alignment vertical="center"/>
    </xf>
    <xf numFmtId="0" fontId="0" fillId="0" borderId="14" xfId="0" applyFont="1" applyBorder="1" applyAlignment="1">
      <alignment vertical="center"/>
    </xf>
    <xf numFmtId="0" fontId="0" fillId="0" borderId="14" xfId="0" applyFont="1" applyBorder="1" applyAlignment="1">
      <alignment vertical="center"/>
    </xf>
    <xf numFmtId="49" fontId="23" fillId="0" borderId="44" xfId="0" applyNumberFormat="1" applyFont="1" applyBorder="1" applyAlignment="1">
      <alignment vertical="center"/>
    </xf>
    <xf numFmtId="49" fontId="23" fillId="0" borderId="45" xfId="0" applyNumberFormat="1" applyFont="1" applyBorder="1" applyAlignment="1">
      <alignment vertical="top"/>
    </xf>
    <xf numFmtId="0" fontId="0" fillId="0" borderId="13" xfId="0" applyFont="1" applyBorder="1" applyAlignment="1">
      <alignment vertical="center"/>
    </xf>
    <xf numFmtId="0" fontId="0" fillId="0" borderId="12" xfId="0" applyFont="1" applyBorder="1" applyAlignment="1">
      <alignment horizontal="right" vertical="top"/>
    </xf>
    <xf numFmtId="0" fontId="0" fillId="0" borderId="12" xfId="0" applyFont="1" applyBorder="1" applyAlignment="1">
      <alignment vertical="top"/>
    </xf>
    <xf numFmtId="0" fontId="23" fillId="0" borderId="13" xfId="0" applyFont="1" applyBorder="1" applyAlignment="1">
      <alignment vertical="center"/>
    </xf>
    <xf numFmtId="49" fontId="23" fillId="0" borderId="12" xfId="0" applyNumberFormat="1" applyFont="1" applyBorder="1" applyAlignment="1">
      <alignment vertical="center"/>
    </xf>
    <xf numFmtId="0" fontId="0" fillId="0" borderId="0" xfId="0" applyFont="1" applyAlignment="1">
      <alignment vertical="top"/>
    </xf>
    <xf numFmtId="0" fontId="23" fillId="0" borderId="12" xfId="0" applyFont="1" applyBorder="1" applyAlignment="1">
      <alignment vertical="top"/>
    </xf>
    <xf numFmtId="49" fontId="23" fillId="0" borderId="12" xfId="0" applyNumberFormat="1" applyFont="1" applyBorder="1" applyAlignment="1">
      <alignment vertical="top"/>
    </xf>
    <xf numFmtId="49" fontId="0" fillId="0" borderId="0" xfId="0" applyNumberFormat="1" applyFont="1" applyAlignment="1">
      <alignment vertical="top"/>
    </xf>
    <xf numFmtId="0" fontId="23" fillId="0" borderId="0" xfId="0" applyFont="1" applyAlignment="1">
      <alignment vertical="center"/>
    </xf>
    <xf numFmtId="49" fontId="23" fillId="0" borderId="14" xfId="0" applyNumberFormat="1" applyFont="1" applyBorder="1" applyAlignment="1">
      <alignment vertical="top"/>
    </xf>
    <xf numFmtId="0" fontId="0" fillId="0" borderId="0" xfId="0" applyFont="1" applyAlignment="1">
      <alignment vertical="center"/>
    </xf>
    <xf numFmtId="0" fontId="23" fillId="0" borderId="0" xfId="0" applyFont="1" applyAlignment="1">
      <alignment vertical="top"/>
    </xf>
    <xf numFmtId="49" fontId="23" fillId="0" borderId="12" xfId="0" applyNumberFormat="1" applyFont="1" applyBorder="1" applyAlignment="1">
      <alignment vertical="top"/>
    </xf>
    <xf numFmtId="49" fontId="0" fillId="0" borderId="14" xfId="0" applyNumberFormat="1" applyFont="1" applyBorder="1" applyAlignment="1">
      <alignment vertical="top"/>
    </xf>
    <xf numFmtId="0" fontId="0" fillId="0" borderId="17" xfId="0" applyFont="1" applyBorder="1" applyAlignment="1">
      <alignment vertical="top"/>
    </xf>
    <xf numFmtId="0" fontId="23" fillId="0" borderId="17" xfId="0" applyFont="1" applyBorder="1" applyAlignment="1">
      <alignment vertical="center"/>
    </xf>
    <xf numFmtId="49" fontId="23" fillId="0" borderId="31" xfId="0" applyNumberFormat="1" applyFont="1" applyBorder="1" applyAlignment="1">
      <alignment horizontal="center" vertical="center"/>
    </xf>
    <xf numFmtId="49" fontId="23" fillId="0" borderId="0" xfId="0" applyNumberFormat="1" applyFont="1" applyAlignment="1">
      <alignment vertical="top"/>
    </xf>
    <xf numFmtId="49" fontId="23" fillId="0" borderId="0" xfId="0" applyNumberFormat="1" applyFont="1" applyAlignment="1">
      <alignment vertical="top"/>
    </xf>
    <xf numFmtId="49" fontId="0" fillId="36" borderId="31" xfId="0" applyNumberFormat="1" applyFont="1" applyFill="1" applyBorder="1" applyAlignment="1" applyProtection="1">
      <alignment horizontal="left" vertical="center"/>
      <protection locked="0"/>
    </xf>
    <xf numFmtId="49" fontId="0" fillId="0" borderId="12" xfId="0" applyNumberFormat="1" applyFont="1" applyBorder="1" applyAlignment="1">
      <alignment horizontal="center" vertical="center"/>
    </xf>
    <xf numFmtId="49" fontId="0" fillId="0" borderId="31" xfId="0" applyNumberFormat="1" applyFont="1" applyBorder="1" applyAlignment="1">
      <alignment horizontal="right" vertical="center"/>
    </xf>
    <xf numFmtId="0" fontId="0" fillId="34" borderId="31" xfId="0" applyFont="1" applyFill="1" applyBorder="1" applyAlignment="1">
      <alignment horizontal="center" vertical="center"/>
    </xf>
    <xf numFmtId="49" fontId="0" fillId="0" borderId="31" xfId="0" applyNumberFormat="1" applyFont="1" applyBorder="1" applyAlignment="1">
      <alignment horizontal="center" vertical="center"/>
    </xf>
    <xf numFmtId="49" fontId="0" fillId="0" borderId="0" xfId="0" applyNumberFormat="1" applyFont="1" applyAlignment="1">
      <alignment horizontal="left" vertical="center"/>
    </xf>
    <xf numFmtId="0" fontId="0" fillId="0" borderId="0" xfId="0" applyFont="1" applyAlignment="1">
      <alignment horizontal="center" vertical="center"/>
    </xf>
    <xf numFmtId="0" fontId="103" fillId="0" borderId="46" xfId="0" applyFont="1" applyBorder="1" applyAlignment="1">
      <alignment horizontal="center" vertical="center"/>
    </xf>
    <xf numFmtId="0" fontId="0" fillId="0" borderId="46" xfId="0" applyFont="1" applyBorder="1" applyAlignment="1">
      <alignment horizontal="center" vertical="center"/>
    </xf>
    <xf numFmtId="49" fontId="32" fillId="47" borderId="12" xfId="0" applyNumberFormat="1" applyFont="1" applyFill="1" applyBorder="1" applyAlignment="1">
      <alignment horizontal="right" vertical="center"/>
    </xf>
    <xf numFmtId="49" fontId="23" fillId="36" borderId="37" xfId="0" applyNumberFormat="1" applyFont="1" applyFill="1" applyBorder="1" applyAlignment="1" applyProtection="1">
      <alignment vertical="top"/>
      <protection locked="0"/>
    </xf>
    <xf numFmtId="0" fontId="23" fillId="0" borderId="12" xfId="0" applyFont="1" applyBorder="1" applyAlignment="1">
      <alignment vertical="top"/>
    </xf>
    <xf numFmtId="49" fontId="23" fillId="41" borderId="23" xfId="0" applyNumberFormat="1" applyFont="1" applyFill="1" applyBorder="1" applyAlignment="1">
      <alignment vertical="top"/>
    </xf>
    <xf numFmtId="49" fontId="23" fillId="41" borderId="12" xfId="0" applyNumberFormat="1" applyFont="1" applyFill="1" applyBorder="1" applyAlignment="1">
      <alignment vertical="top"/>
    </xf>
    <xf numFmtId="0" fontId="0" fillId="0" borderId="32" xfId="0" applyFont="1" applyBorder="1" applyAlignment="1">
      <alignment horizontal="center" vertical="center"/>
    </xf>
    <xf numFmtId="49" fontId="0" fillId="0" borderId="0" xfId="0" applyNumberFormat="1" applyFont="1" applyAlignment="1">
      <alignment vertical="center"/>
    </xf>
    <xf numFmtId="49" fontId="32" fillId="47" borderId="14" xfId="0" applyNumberFormat="1" applyFont="1" applyFill="1" applyBorder="1" applyAlignment="1">
      <alignment horizontal="right" vertical="center"/>
    </xf>
    <xf numFmtId="49" fontId="23" fillId="0" borderId="0" xfId="0" applyNumberFormat="1" applyFont="1" applyAlignment="1">
      <alignment vertical="center"/>
    </xf>
    <xf numFmtId="0" fontId="0" fillId="48" borderId="0" xfId="0" applyFont="1" applyFill="1" applyAlignment="1">
      <alignment horizontal="right" vertical="center"/>
    </xf>
    <xf numFmtId="0" fontId="104" fillId="0" borderId="47" xfId="0" applyFont="1" applyBorder="1" applyAlignment="1">
      <alignment horizontal="left" vertical="center" indent="1"/>
    </xf>
    <xf numFmtId="0" fontId="104" fillId="0" borderId="48" xfId="0" applyFont="1" applyBorder="1" applyAlignment="1">
      <alignment horizontal="left" vertical="center" indent="1"/>
    </xf>
    <xf numFmtId="0" fontId="104" fillId="0" borderId="49" xfId="0" applyFont="1" applyBorder="1" applyAlignment="1">
      <alignment horizontal="left" vertical="center" indent="1"/>
    </xf>
    <xf numFmtId="0" fontId="23" fillId="35" borderId="0" xfId="0" applyFont="1" applyFill="1" applyAlignment="1">
      <alignment vertical="center" wrapText="1"/>
    </xf>
    <xf numFmtId="0" fontId="23" fillId="0" borderId="0" xfId="0" applyFont="1" applyAlignment="1">
      <alignment vertical="center" wrapText="1"/>
    </xf>
    <xf numFmtId="0" fontId="32" fillId="0" borderId="0" xfId="0" applyFont="1" applyAlignment="1">
      <alignment vertical="center" wrapText="1"/>
    </xf>
    <xf numFmtId="49" fontId="23" fillId="0" borderId="0" xfId="0" applyNumberFormat="1" applyFont="1" applyAlignment="1">
      <alignment vertical="top"/>
    </xf>
    <xf numFmtId="0" fontId="47" fillId="0" borderId="0" xfId="0" applyFont="1" applyAlignment="1">
      <alignment vertical="center" wrapText="1"/>
    </xf>
    <xf numFmtId="49" fontId="99" fillId="0" borderId="0" xfId="0" applyNumberFormat="1" applyFont="1" applyAlignment="1">
      <alignment horizontal="center" vertical="center" wrapText="1"/>
    </xf>
    <xf numFmtId="0" fontId="23" fillId="35" borderId="0" xfId="0" applyFont="1" applyFill="1" applyAlignment="1">
      <alignment vertical="center" wrapText="1"/>
    </xf>
    <xf numFmtId="0" fontId="23" fillId="0" borderId="0" xfId="0" applyFont="1" applyAlignment="1">
      <alignment vertical="center" wrapText="1"/>
    </xf>
    <xf numFmtId="0" fontId="50" fillId="35" borderId="39" xfId="0" applyFont="1" applyFill="1" applyBorder="1" applyAlignment="1">
      <alignment horizontal="center" wrapText="1"/>
    </xf>
    <xf numFmtId="49" fontId="74" fillId="0" borderId="39" xfId="0" applyNumberFormat="1" applyFont="1" applyBorder="1" applyAlignment="1">
      <alignment vertical="top"/>
    </xf>
    <xf numFmtId="0" fontId="0" fillId="0" borderId="12" xfId="0" applyFont="1" applyBorder="1" applyAlignment="1">
      <alignment horizontal="center" vertical="center" wrapText="1"/>
    </xf>
    <xf numFmtId="0" fontId="23" fillId="0" borderId="0" xfId="0" applyFont="1" applyAlignment="1">
      <alignment horizontal="left" vertical="center" wrapText="1" indent="3"/>
    </xf>
    <xf numFmtId="0" fontId="23" fillId="0" borderId="0" xfId="0" applyFont="1" applyAlignment="1">
      <alignment horizontal="left" vertical="center" wrapText="1" indent="3"/>
    </xf>
    <xf numFmtId="0" fontId="23" fillId="0" borderId="0" xfId="0" applyFont="1" applyAlignment="1">
      <alignment vertical="center" wrapText="1"/>
    </xf>
    <xf numFmtId="0" fontId="32" fillId="0" borderId="0" xfId="0" applyFont="1" applyAlignment="1">
      <alignment vertical="center" wrapText="1"/>
    </xf>
    <xf numFmtId="49" fontId="23" fillId="0" borderId="0" xfId="0" applyNumberFormat="1" applyFont="1" applyAlignment="1">
      <alignment vertical="top"/>
    </xf>
    <xf numFmtId="0" fontId="47" fillId="0" borderId="0" xfId="0" applyFont="1" applyAlignment="1">
      <alignment vertical="center" wrapText="1"/>
    </xf>
    <xf numFmtId="0" fontId="23" fillId="0" borderId="12" xfId="0" applyFont="1" applyBorder="1" applyAlignment="1">
      <alignment horizontal="center" vertical="center" wrapText="1"/>
    </xf>
    <xf numFmtId="0" fontId="23" fillId="0" borderId="0" xfId="0" applyFont="1" applyAlignment="1">
      <alignment vertical="center" wrapText="1"/>
    </xf>
    <xf numFmtId="0" fontId="23" fillId="35" borderId="39" xfId="0" applyFont="1" applyFill="1" applyBorder="1" applyAlignment="1">
      <alignment vertical="center" wrapText="1"/>
    </xf>
    <xf numFmtId="0" fontId="23" fillId="0" borderId="0" xfId="0" applyFont="1" applyAlignment="1">
      <alignment vertical="center" wrapText="1"/>
    </xf>
    <xf numFmtId="0" fontId="32" fillId="0" borderId="0" xfId="0" applyFont="1" applyAlignment="1">
      <alignment vertical="center" wrapText="1"/>
    </xf>
    <xf numFmtId="49" fontId="23" fillId="0" borderId="0" xfId="0" applyNumberFormat="1" applyFont="1" applyAlignment="1">
      <alignment vertical="top"/>
    </xf>
    <xf numFmtId="0" fontId="47" fillId="0" borderId="0" xfId="0" applyFont="1" applyAlignment="1">
      <alignment vertical="center" wrapText="1"/>
    </xf>
    <xf numFmtId="0" fontId="23" fillId="0" borderId="0" xfId="0" applyFont="1" applyAlignment="1">
      <alignment vertical="center" wrapText="1"/>
    </xf>
    <xf numFmtId="0" fontId="23" fillId="0" borderId="0" xfId="0" applyFont="1" applyAlignment="1">
      <alignment vertical="center" wrapText="1"/>
    </xf>
    <xf numFmtId="0" fontId="23" fillId="35" borderId="39" xfId="0" applyFont="1" applyFill="1" applyBorder="1" applyAlignment="1">
      <alignment vertical="center" wrapText="1"/>
    </xf>
    <xf numFmtId="0" fontId="23" fillId="39" borderId="12" xfId="0" applyFont="1" applyFill="1" applyBorder="1" applyAlignment="1" applyProtection="1">
      <alignment horizontal="left" vertical="center" wrapText="1" indent="1"/>
      <protection locked="0"/>
    </xf>
    <xf numFmtId="49" fontId="47" fillId="47" borderId="0" xfId="0" applyNumberFormat="1" applyFont="1" applyFill="1" applyAlignment="1">
      <alignment horizontal="center" vertical="center" wrapText="1"/>
    </xf>
    <xf numFmtId="0" fontId="23" fillId="0" borderId="12" xfId="0" applyFont="1" applyBorder="1" applyAlignment="1">
      <alignment horizontal="center" vertical="center" wrapText="1"/>
    </xf>
    <xf numFmtId="0" fontId="23" fillId="0" borderId="12" xfId="0" applyFont="1" applyBorder="1" applyAlignment="1">
      <alignment horizontal="center" vertical="center" wrapText="1"/>
    </xf>
    <xf numFmtId="0" fontId="23" fillId="0" borderId="0" xfId="0" applyFont="1" applyAlignment="1">
      <alignment vertical="center" wrapText="1"/>
    </xf>
    <xf numFmtId="0" fontId="32" fillId="0" borderId="0" xfId="0" applyFont="1" applyAlignment="1">
      <alignment vertical="center" wrapText="1"/>
    </xf>
    <xf numFmtId="49" fontId="23" fillId="0" borderId="0" xfId="0" applyNumberFormat="1" applyFont="1" applyAlignment="1">
      <alignment vertical="top"/>
    </xf>
    <xf numFmtId="49" fontId="105" fillId="0" borderId="16" xfId="0" applyNumberFormat="1" applyFont="1" applyBorder="1" applyAlignment="1">
      <alignment vertical="top"/>
    </xf>
    <xf numFmtId="0" fontId="0" fillId="0" borderId="0" xfId="0" applyFont="1" applyAlignment="1">
      <alignment vertical="top"/>
    </xf>
    <xf numFmtId="0" fontId="47" fillId="0" borderId="0" xfId="0" applyFont="1" applyAlignment="1">
      <alignment vertical="center" wrapText="1"/>
    </xf>
    <xf numFmtId="49" fontId="54" fillId="39" borderId="12" xfId="0" applyNumberFormat="1" applyFont="1" applyFill="1" applyBorder="1" applyAlignment="1" applyProtection="1">
      <alignment horizontal="left" vertical="center" wrapText="1"/>
      <protection locked="0"/>
    </xf>
    <xf numFmtId="0" fontId="23" fillId="0" borderId="14" xfId="0" applyFont="1" applyBorder="1" applyAlignment="1">
      <alignment horizontal="left" vertical="center"/>
    </xf>
    <xf numFmtId="0" fontId="0" fillId="0" borderId="14" xfId="0" applyFont="1" applyBorder="1" applyAlignment="1">
      <alignment horizontal="left" vertical="center"/>
    </xf>
    <xf numFmtId="49" fontId="54" fillId="39" borderId="12" xfId="0" applyNumberFormat="1" applyFont="1" applyFill="1" applyBorder="1" applyAlignment="1" applyProtection="1">
      <alignment horizontal="left" vertical="center" wrapText="1"/>
      <protection locked="0"/>
    </xf>
    <xf numFmtId="0" fontId="23" fillId="35" borderId="26" xfId="0" applyFont="1" applyFill="1" applyBorder="1" applyAlignment="1">
      <alignment horizontal="right" vertical="center" wrapText="1" indent="1"/>
    </xf>
    <xf numFmtId="49" fontId="47" fillId="0" borderId="0" xfId="0" applyNumberFormat="1" applyFont="1" applyAlignment="1">
      <alignment horizontal="center" vertical="center" wrapText="1"/>
    </xf>
    <xf numFmtId="49" fontId="48" fillId="0" borderId="0" xfId="0" applyNumberFormat="1" applyFont="1" applyAlignment="1">
      <alignment horizontal="center" vertical="center" wrapText="1"/>
    </xf>
    <xf numFmtId="49" fontId="40" fillId="37" borderId="15" xfId="0" applyNumberFormat="1" applyFont="1" applyFill="1" applyBorder="1" applyAlignment="1">
      <alignment horizontal="left" vertical="center" indent="1"/>
    </xf>
    <xf numFmtId="4" fontId="23" fillId="39" borderId="31" xfId="0" applyNumberFormat="1" applyFont="1" applyFill="1" applyBorder="1" applyAlignment="1" applyProtection="1">
      <alignment horizontal="right" vertical="center" wrapText="1"/>
      <protection locked="0"/>
    </xf>
    <xf numFmtId="0" fontId="23" fillId="35" borderId="0" xfId="0" applyFont="1" applyFill="1" applyAlignment="1">
      <alignment vertical="center" wrapText="1"/>
    </xf>
    <xf numFmtId="0" fontId="23" fillId="0" borderId="0" xfId="0" applyFont="1" applyAlignment="1">
      <alignment vertical="center"/>
    </xf>
    <xf numFmtId="0" fontId="23" fillId="0" borderId="0" xfId="0" applyFont="1" applyAlignment="1">
      <alignment vertical="center" wrapText="1"/>
    </xf>
    <xf numFmtId="0" fontId="23" fillId="37" borderId="50" xfId="0" applyFont="1" applyFill="1" applyBorder="1" applyAlignment="1">
      <alignment vertical="center" wrapText="1"/>
    </xf>
    <xf numFmtId="0" fontId="23" fillId="37" borderId="51" xfId="0" applyFont="1" applyFill="1" applyBorder="1" applyAlignment="1">
      <alignment vertical="center" wrapText="1"/>
    </xf>
    <xf numFmtId="49" fontId="106" fillId="37" borderId="14" xfId="0" applyNumberFormat="1" applyFont="1" applyFill="1" applyBorder="1" applyAlignment="1">
      <alignment horizontal="left" vertical="center" indent="1"/>
    </xf>
    <xf numFmtId="49" fontId="106" fillId="37" borderId="15" xfId="0" applyNumberFormat="1" applyFont="1" applyFill="1" applyBorder="1" applyAlignment="1">
      <alignment horizontal="left" vertical="center" indent="1"/>
    </xf>
    <xf numFmtId="49" fontId="95" fillId="37" borderId="43" xfId="0" applyNumberFormat="1" applyFont="1" applyFill="1" applyBorder="1" applyAlignment="1">
      <alignment horizontal="center" vertical="center"/>
    </xf>
    <xf numFmtId="49" fontId="106" fillId="37" borderId="43" xfId="0" applyNumberFormat="1" applyFont="1" applyFill="1" applyBorder="1" applyAlignment="1">
      <alignment horizontal="left" vertical="center" indent="1"/>
    </xf>
    <xf numFmtId="0" fontId="45" fillId="40" borderId="12" xfId="0" applyFont="1" applyFill="1" applyBorder="1" applyAlignment="1">
      <alignment horizontal="left" vertical="center" wrapText="1" indent="1"/>
    </xf>
    <xf numFmtId="49" fontId="45" fillId="37" borderId="15" xfId="0" applyNumberFormat="1" applyFont="1" applyFill="1" applyBorder="1" applyAlignment="1">
      <alignment vertical="top" wrapText="1"/>
    </xf>
    <xf numFmtId="49" fontId="45" fillId="37" borderId="13" xfId="0" applyNumberFormat="1" applyFont="1" applyFill="1" applyBorder="1" applyAlignment="1">
      <alignment vertical="top" wrapText="1"/>
    </xf>
    <xf numFmtId="49" fontId="45" fillId="37" borderId="52" xfId="0" applyNumberFormat="1" applyFont="1" applyFill="1" applyBorder="1" applyAlignment="1">
      <alignment vertical="top" wrapText="1"/>
    </xf>
    <xf numFmtId="49" fontId="106" fillId="37" borderId="52" xfId="0" applyNumberFormat="1" applyFont="1" applyFill="1" applyBorder="1" applyAlignment="1">
      <alignment horizontal="left" vertical="center" indent="1"/>
    </xf>
    <xf numFmtId="0" fontId="23" fillId="35" borderId="39" xfId="0" applyFont="1" applyFill="1" applyBorder="1" applyAlignment="1">
      <alignment vertical="center" wrapText="1"/>
    </xf>
    <xf numFmtId="0" fontId="0" fillId="0" borderId="49" xfId="0" applyFont="1" applyBorder="1" applyAlignment="1">
      <alignment horizontal="left" vertical="center" wrapText="1"/>
    </xf>
    <xf numFmtId="0" fontId="23" fillId="0" borderId="49" xfId="0" applyFont="1" applyBorder="1" applyAlignment="1">
      <alignment vertical="center" wrapText="1"/>
    </xf>
    <xf numFmtId="0" fontId="23" fillId="0" borderId="53" xfId="0" applyFont="1" applyBorder="1" applyAlignment="1">
      <alignment vertical="center" wrapText="1"/>
    </xf>
    <xf numFmtId="0" fontId="23" fillId="0" borderId="54" xfId="0" applyFont="1" applyBorder="1" applyAlignment="1">
      <alignment vertical="center" wrapText="1"/>
    </xf>
    <xf numFmtId="0" fontId="23" fillId="40" borderId="12" xfId="0" applyFont="1" applyFill="1" applyBorder="1" applyAlignment="1">
      <alignment horizontal="left" vertical="center" wrapText="1" indent="1"/>
    </xf>
    <xf numFmtId="0" fontId="0" fillId="37" borderId="50" xfId="0" applyFont="1" applyFill="1" applyBorder="1" applyAlignment="1">
      <alignment horizontal="left" vertical="center"/>
    </xf>
    <xf numFmtId="0" fontId="23" fillId="35" borderId="12" xfId="0" applyFont="1" applyFill="1" applyBorder="1" applyAlignment="1">
      <alignment horizontal="center" vertical="center" wrapText="1"/>
    </xf>
    <xf numFmtId="49" fontId="36" fillId="0" borderId="12" xfId="0" applyNumberFormat="1" applyFont="1" applyBorder="1" applyAlignment="1">
      <alignment horizontal="center" vertical="center"/>
    </xf>
    <xf numFmtId="49" fontId="36" fillId="41" borderId="12" xfId="0" applyNumberFormat="1" applyFont="1" applyFill="1" applyBorder="1" applyAlignment="1">
      <alignment horizontal="center" vertical="center"/>
    </xf>
    <xf numFmtId="0" fontId="36" fillId="0" borderId="12" xfId="0" applyFont="1" applyBorder="1" applyAlignment="1">
      <alignment horizontal="center" vertical="center"/>
    </xf>
    <xf numFmtId="49" fontId="36" fillId="0" borderId="23" xfId="0" applyNumberFormat="1" applyFont="1" applyBorder="1" applyAlignment="1">
      <alignment horizontal="center" vertical="center"/>
    </xf>
    <xf numFmtId="49" fontId="23" fillId="0" borderId="0" xfId="0" applyNumberFormat="1" applyFont="1" applyAlignment="1">
      <alignment vertical="center"/>
    </xf>
    <xf numFmtId="49" fontId="47" fillId="0" borderId="17" xfId="0" applyNumberFormat="1" applyFont="1" applyBorder="1" applyAlignment="1">
      <alignment horizontal="center" vertical="center"/>
    </xf>
    <xf numFmtId="49" fontId="23" fillId="0" borderId="17" xfId="0" applyNumberFormat="1" applyFont="1" applyBorder="1" applyAlignment="1">
      <alignment horizontal="center" vertical="center"/>
    </xf>
    <xf numFmtId="0" fontId="23" fillId="0" borderId="17" xfId="0" applyFont="1" applyBorder="1" applyAlignment="1">
      <alignment horizontal="right" vertical="center"/>
    </xf>
    <xf numFmtId="0" fontId="23" fillId="0" borderId="17" xfId="0" applyFont="1" applyBorder="1" applyAlignment="1">
      <alignment horizontal="center" vertical="center"/>
    </xf>
    <xf numFmtId="0" fontId="23" fillId="0" borderId="12" xfId="0" applyFont="1" applyBorder="1" applyAlignment="1">
      <alignment horizontal="right" vertical="center"/>
    </xf>
    <xf numFmtId="49" fontId="23" fillId="0" borderId="0" xfId="0" applyNumberFormat="1" applyFont="1" applyAlignment="1">
      <alignment vertical="center"/>
    </xf>
    <xf numFmtId="49" fontId="23" fillId="0" borderId="55" xfId="0" applyNumberFormat="1" applyFont="1" applyBorder="1" applyAlignment="1">
      <alignment horizontal="center" vertical="center"/>
    </xf>
    <xf numFmtId="0" fontId="23" fillId="0" borderId="55" xfId="0" applyFont="1" applyBorder="1" applyAlignment="1">
      <alignment horizontal="right" vertical="center"/>
    </xf>
    <xf numFmtId="0" fontId="23" fillId="0" borderId="55" xfId="0" applyFont="1" applyBorder="1" applyAlignment="1">
      <alignment horizontal="center" vertical="center"/>
    </xf>
    <xf numFmtId="0" fontId="23" fillId="0" borderId="15" xfId="0" applyFont="1" applyBorder="1" applyAlignment="1">
      <alignment horizontal="right" vertical="center"/>
    </xf>
    <xf numFmtId="0" fontId="23" fillId="0" borderId="13" xfId="0" applyFont="1" applyBorder="1" applyAlignment="1">
      <alignment horizontal="right" vertical="center"/>
    </xf>
    <xf numFmtId="0" fontId="23" fillId="35" borderId="12" xfId="0" applyFont="1" applyFill="1" applyBorder="1" applyAlignment="1">
      <alignment horizontal="center" vertical="center"/>
    </xf>
    <xf numFmtId="0" fontId="23" fillId="40" borderId="12" xfId="0" applyFont="1" applyFill="1" applyBorder="1" applyAlignment="1">
      <alignment horizontal="left" vertical="center" wrapText="1" indent="1"/>
    </xf>
    <xf numFmtId="0" fontId="23" fillId="39" borderId="12" xfId="0" applyFont="1" applyFill="1" applyBorder="1" applyAlignment="1" applyProtection="1">
      <alignment horizontal="left" vertical="center" wrapText="1" indent="1"/>
      <protection locked="0"/>
    </xf>
    <xf numFmtId="0" fontId="23" fillId="41" borderId="12" xfId="0" applyFont="1" applyFill="1" applyBorder="1" applyAlignment="1">
      <alignment horizontal="right" vertical="center"/>
    </xf>
    <xf numFmtId="4" fontId="23" fillId="36" borderId="12" xfId="0" applyNumberFormat="1" applyFont="1" applyFill="1" applyBorder="1" applyAlignment="1" applyProtection="1">
      <alignment horizontal="right" vertical="center"/>
      <protection locked="0"/>
    </xf>
    <xf numFmtId="49" fontId="40" fillId="37" borderId="56" xfId="0" applyNumberFormat="1" applyFont="1" applyFill="1" applyBorder="1" applyAlignment="1">
      <alignment horizontal="left" vertical="center" indent="1"/>
    </xf>
    <xf numFmtId="49" fontId="40" fillId="37" borderId="51" xfId="0" applyNumberFormat="1" applyFont="1" applyFill="1" applyBorder="1" applyAlignment="1">
      <alignment horizontal="left" vertical="center" indent="1"/>
    </xf>
    <xf numFmtId="49" fontId="40" fillId="52" borderId="13" xfId="0" applyNumberFormat="1" applyFont="1" applyFill="1" applyBorder="1" applyAlignment="1">
      <alignment horizontal="left" vertical="center" indent="1"/>
    </xf>
    <xf numFmtId="49" fontId="23" fillId="0" borderId="0" xfId="0" applyNumberFormat="1" applyFont="1" applyAlignment="1">
      <alignment vertical="top"/>
    </xf>
    <xf numFmtId="0" fontId="23" fillId="48" borderId="0" xfId="0" applyFont="1" applyFill="1" applyAlignment="1">
      <alignment horizontal="left" vertical="center"/>
    </xf>
    <xf numFmtId="49" fontId="23" fillId="0" borderId="0" xfId="0" applyNumberFormat="1" applyFont="1" applyAlignment="1">
      <alignment vertical="center" wrapText="1"/>
    </xf>
    <xf numFmtId="0" fontId="23" fillId="0" borderId="0" xfId="0" applyFont="1" applyAlignment="1">
      <alignment horizontal="right" vertical="center" wrapText="1"/>
    </xf>
    <xf numFmtId="0" fontId="48" fillId="0" borderId="0" xfId="0" applyFont="1" applyAlignment="1">
      <alignment horizontal="center" vertical="center" wrapText="1"/>
    </xf>
    <xf numFmtId="0" fontId="0" fillId="0" borderId="12" xfId="0" applyFont="1" applyBorder="1" applyAlignment="1">
      <alignment horizontal="center" vertical="center" wrapText="1"/>
    </xf>
    <xf numFmtId="0" fontId="0" fillId="0" borderId="12" xfId="0" applyFont="1" applyBorder="1" applyAlignment="1">
      <alignment horizontal="center" vertical="center" wrapText="1"/>
    </xf>
    <xf numFmtId="49" fontId="23" fillId="0" borderId="12" xfId="0" applyNumberFormat="1" applyFont="1" applyBorder="1" applyAlignment="1">
      <alignment horizontal="left" vertical="center" wrapText="1"/>
    </xf>
    <xf numFmtId="0" fontId="23" fillId="35" borderId="12" xfId="0" applyFont="1" applyFill="1" applyBorder="1" applyAlignment="1">
      <alignment horizontal="left" vertical="center" wrapText="1"/>
    </xf>
    <xf numFmtId="49" fontId="0" fillId="0" borderId="12" xfId="0" applyNumberFormat="1" applyFont="1" applyBorder="1" applyAlignment="1">
      <alignment horizontal="center" vertical="center" wrapText="1"/>
    </xf>
    <xf numFmtId="49" fontId="0" fillId="0" borderId="12" xfId="0" applyNumberFormat="1" applyFont="1" applyBorder="1" applyAlignment="1">
      <alignment horizontal="center" vertical="center"/>
    </xf>
    <xf numFmtId="0" fontId="23" fillId="35" borderId="19" xfId="0" applyFont="1" applyFill="1" applyBorder="1" applyAlignment="1">
      <alignment vertical="center" wrapText="1"/>
    </xf>
    <xf numFmtId="49" fontId="48" fillId="0" borderId="0" xfId="0" applyNumberFormat="1" applyFont="1" applyAlignment="1">
      <alignment vertical="top"/>
    </xf>
    <xf numFmtId="0" fontId="48" fillId="0" borderId="39" xfId="0" applyFont="1" applyBorder="1" applyAlignment="1">
      <alignment vertical="center" wrapText="1"/>
    </xf>
    <xf numFmtId="49" fontId="0" fillId="0" borderId="12" xfId="0" applyNumberFormat="1" applyFont="1" applyBorder="1" applyAlignment="1">
      <alignment horizontal="center" vertical="center"/>
    </xf>
    <xf numFmtId="49" fontId="0" fillId="0" borderId="12" xfId="0" applyNumberFormat="1" applyFont="1" applyBorder="1" applyAlignment="1">
      <alignment horizontal="center" vertical="center" wrapText="1"/>
    </xf>
    <xf numFmtId="49" fontId="0" fillId="34" borderId="12" xfId="0" applyNumberFormat="1" applyFont="1" applyFill="1" applyBorder="1" applyAlignment="1">
      <alignment horizontal="center" vertical="center"/>
    </xf>
    <xf numFmtId="49" fontId="23" fillId="0" borderId="22" xfId="0" applyNumberFormat="1" applyFont="1" applyBorder="1" applyAlignment="1">
      <alignment vertical="top"/>
    </xf>
    <xf numFmtId="0" fontId="23" fillId="0" borderId="22" xfId="0" applyFont="1" applyBorder="1" applyAlignment="1">
      <alignment vertical="center" wrapText="1"/>
    </xf>
    <xf numFmtId="4" fontId="0" fillId="36" borderId="12" xfId="0" applyNumberFormat="1" applyFont="1" applyFill="1" applyBorder="1" applyAlignment="1" applyProtection="1">
      <alignment horizontal="right" vertical="center" wrapText="1"/>
      <protection locked="0"/>
    </xf>
    <xf numFmtId="4" fontId="0" fillId="34" borderId="12" xfId="0" applyNumberFormat="1" applyFont="1" applyFill="1" applyBorder="1" applyAlignment="1">
      <alignment horizontal="right" vertical="center" wrapText="1"/>
    </xf>
    <xf numFmtId="49" fontId="0" fillId="0" borderId="12" xfId="0" applyNumberFormat="1" applyFont="1" applyBorder="1" applyAlignment="1">
      <alignment horizontal="left" vertical="center" wrapText="1" indent="2"/>
    </xf>
    <xf numFmtId="49" fontId="0" fillId="0" borderId="12" xfId="0" applyNumberFormat="1" applyFont="1" applyBorder="1" applyAlignment="1">
      <alignment horizontal="left" vertical="center" wrapText="1" indent="3"/>
    </xf>
    <xf numFmtId="49" fontId="0" fillId="0" borderId="12" xfId="0" applyNumberFormat="1" applyFont="1" applyBorder="1" applyAlignment="1">
      <alignment horizontal="left" vertical="center" wrapText="1"/>
    </xf>
    <xf numFmtId="0" fontId="23" fillId="0" borderId="38" xfId="0" applyFont="1" applyBorder="1" applyAlignment="1">
      <alignment vertical="center"/>
    </xf>
    <xf numFmtId="49" fontId="40" fillId="37" borderId="15" xfId="0" applyNumberFormat="1" applyFont="1" applyFill="1" applyBorder="1" applyAlignment="1">
      <alignment horizontal="left" vertical="center" indent="1"/>
    </xf>
    <xf numFmtId="49" fontId="23" fillId="39" borderId="17" xfId="0" applyNumberFormat="1" applyFont="1" applyFill="1" applyBorder="1" applyAlignment="1" applyProtection="1">
      <alignment horizontal="left" vertical="center" wrapText="1" indent="1"/>
      <protection locked="0"/>
    </xf>
    <xf numFmtId="0" fontId="46" fillId="0" borderId="0" xfId="0" applyFont="1" applyAlignment="1">
      <alignment vertical="center" wrapText="1"/>
    </xf>
    <xf numFmtId="0" fontId="23" fillId="35" borderId="27" xfId="0" applyFont="1" applyFill="1" applyBorder="1" applyAlignment="1">
      <alignment vertical="center" wrapText="1"/>
    </xf>
    <xf numFmtId="0" fontId="48" fillId="35" borderId="19" xfId="0" applyFont="1" applyFill="1" applyBorder="1" applyAlignment="1">
      <alignment horizontal="center" vertical="center" wrapText="1"/>
    </xf>
    <xf numFmtId="49" fontId="73" fillId="0" borderId="0" xfId="0" applyNumberFormat="1" applyFont="1" applyAlignment="1">
      <alignment vertical="center" wrapText="1"/>
    </xf>
    <xf numFmtId="0" fontId="107" fillId="35" borderId="0" xfId="0" applyFont="1" applyFill="1" applyAlignment="1">
      <alignment vertical="center" wrapText="1"/>
    </xf>
    <xf numFmtId="0" fontId="23" fillId="0" borderId="0" xfId="0" applyFont="1" applyAlignment="1">
      <alignment vertical="center"/>
    </xf>
    <xf numFmtId="49" fontId="48" fillId="35" borderId="0" xfId="0" applyNumberFormat="1" applyFont="1" applyFill="1" applyAlignment="1">
      <alignment horizontal="center" vertical="center" wrapText="1"/>
    </xf>
    <xf numFmtId="0" fontId="23" fillId="0" borderId="0" xfId="0" applyFont="1" applyAlignment="1">
      <alignment horizontal="left" vertical="center" wrapText="1"/>
    </xf>
    <xf numFmtId="0" fontId="48" fillId="0" borderId="0" xfId="0" applyFont="1" applyAlignment="1">
      <alignment vertical="center"/>
    </xf>
    <xf numFmtId="0" fontId="23" fillId="0" borderId="0" xfId="0" applyFont="1" applyAlignment="1">
      <alignment horizontal="left" vertical="center" wrapText="1" indent="1"/>
    </xf>
    <xf numFmtId="0" fontId="23" fillId="0" borderId="0" xfId="0" applyFont="1" applyAlignment="1">
      <alignment horizontal="right" vertical="top" wrapText="1"/>
    </xf>
    <xf numFmtId="0" fontId="108" fillId="35" borderId="0" xfId="0" applyFont="1" applyFill="1" applyAlignment="1">
      <alignment vertical="center" wrapText="1"/>
    </xf>
    <xf numFmtId="49" fontId="81" fillId="35" borderId="19" xfId="0" applyNumberFormat="1" applyFont="1" applyFill="1" applyBorder="1" applyAlignment="1">
      <alignment horizontal="center" vertical="center" wrapText="1"/>
    </xf>
    <xf numFmtId="0" fontId="81" fillId="35" borderId="19" xfId="0" applyFont="1" applyFill="1" applyBorder="1" applyAlignment="1">
      <alignment horizontal="center" vertical="center" wrapText="1"/>
    </xf>
    <xf numFmtId="177" fontId="23" fillId="36" borderId="12" xfId="0" applyNumberFormat="1" applyFont="1" applyFill="1" applyBorder="1" applyAlignment="1" applyProtection="1">
      <alignment horizontal="right" vertical="center" wrapText="1"/>
      <protection locked="0"/>
    </xf>
    <xf numFmtId="0" fontId="45" fillId="0" borderId="12" xfId="0" applyFont="1" applyBorder="1" applyAlignment="1">
      <alignment vertical="top" wrapText="1"/>
    </xf>
    <xf numFmtId="0" fontId="23" fillId="0" borderId="0" xfId="0" applyFont="1" applyAlignment="1">
      <alignment vertical="center"/>
    </xf>
    <xf numFmtId="0" fontId="109" fillId="0" borderId="0" xfId="0" applyFont="1" applyAlignment="1">
      <alignment vertical="center"/>
    </xf>
    <xf numFmtId="0" fontId="109" fillId="0" borderId="0" xfId="0" applyFont="1" applyAlignment="1">
      <alignment vertical="center"/>
    </xf>
    <xf numFmtId="0" fontId="23" fillId="0" borderId="0" xfId="0" applyFont="1" applyAlignment="1">
      <alignment vertical="center"/>
    </xf>
    <xf numFmtId="0" fontId="23" fillId="0" borderId="0" xfId="0" applyFont="1" applyAlignment="1">
      <alignment vertical="center"/>
    </xf>
    <xf numFmtId="0" fontId="109" fillId="0" borderId="0" xfId="0" applyFont="1" applyAlignment="1">
      <alignment vertical="center"/>
    </xf>
    <xf numFmtId="0" fontId="23" fillId="0" borderId="0" xfId="0" applyFont="1" applyAlignment="1">
      <alignment vertical="center"/>
    </xf>
    <xf numFmtId="0" fontId="23" fillId="0" borderId="0" xfId="0" applyFont="1" applyAlignment="1">
      <alignment vertical="center"/>
    </xf>
    <xf numFmtId="0" fontId="23" fillId="0" borderId="0" xfId="0" applyFont="1" applyAlignment="1">
      <alignment horizontal="left" vertical="center" indent="1"/>
    </xf>
    <xf numFmtId="49" fontId="110" fillId="37" borderId="15" xfId="0" applyNumberFormat="1" applyFont="1" applyFill="1" applyBorder="1" applyAlignment="1">
      <alignment horizontal="left" vertical="center" indent="3"/>
    </xf>
    <xf numFmtId="49" fontId="73" fillId="37" borderId="15" xfId="0" applyNumberFormat="1" applyFont="1" applyFill="1" applyBorder="1" applyAlignment="1">
      <alignment horizontal="center" vertical="center" wrapText="1"/>
    </xf>
    <xf numFmtId="49" fontId="68" fillId="37" borderId="15" xfId="0" applyNumberFormat="1" applyFont="1" applyFill="1" applyBorder="1" applyAlignment="1">
      <alignment horizontal="center" vertical="center" wrapText="1"/>
    </xf>
    <xf numFmtId="49" fontId="68" fillId="37" borderId="13" xfId="0" applyNumberFormat="1" applyFont="1" applyFill="1" applyBorder="1" applyAlignment="1">
      <alignment horizontal="center" vertical="center" wrapText="1"/>
    </xf>
    <xf numFmtId="49" fontId="110" fillId="37" borderId="15" xfId="0" applyNumberFormat="1" applyFont="1" applyFill="1" applyBorder="1" applyAlignment="1">
      <alignment horizontal="left" vertical="center" indent="2"/>
    </xf>
    <xf numFmtId="49" fontId="110" fillId="37" borderId="15" xfId="0" applyNumberFormat="1" applyFont="1" applyFill="1" applyBorder="1" applyAlignment="1">
      <alignment horizontal="left" vertical="center" indent="1"/>
    </xf>
    <xf numFmtId="49" fontId="110" fillId="37" borderId="15" xfId="0" applyNumberFormat="1" applyFont="1" applyFill="1" applyBorder="1" applyAlignment="1">
      <alignment horizontal="left" vertical="center"/>
    </xf>
    <xf numFmtId="0" fontId="23" fillId="35" borderId="0" xfId="0" applyFont="1" applyFill="1" applyAlignment="1">
      <alignment horizontal="left" vertical="center" wrapText="1"/>
    </xf>
    <xf numFmtId="0" fontId="0" fillId="0" borderId="0" xfId="0" applyFont="1" applyAlignment="1">
      <alignment horizontal="left" vertical="center"/>
    </xf>
    <xf numFmtId="49" fontId="81" fillId="35" borderId="19" xfId="0" applyNumberFormat="1" applyFont="1" applyFill="1" applyBorder="1" applyAlignment="1">
      <alignment horizontal="left" vertical="center" wrapText="1"/>
    </xf>
    <xf numFmtId="49" fontId="74" fillId="37" borderId="14" xfId="0" applyNumberFormat="1" applyFont="1" applyFill="1" applyBorder="1" applyAlignment="1">
      <alignment horizontal="left" vertical="center"/>
    </xf>
    <xf numFmtId="49" fontId="102" fillId="37" borderId="14" xfId="0" applyNumberFormat="1" applyFont="1" applyFill="1" applyBorder="1" applyAlignment="1">
      <alignment horizontal="left" vertical="center"/>
    </xf>
    <xf numFmtId="49" fontId="68" fillId="37" borderId="14" xfId="0" applyNumberFormat="1" applyFont="1" applyFill="1" applyBorder="1" applyAlignment="1">
      <alignment horizontal="left" vertical="top"/>
    </xf>
    <xf numFmtId="0" fontId="0" fillId="48" borderId="0" xfId="0" applyFont="1" applyFill="1" applyAlignment="1">
      <alignment horizontal="right" vertical="center"/>
    </xf>
    <xf numFmtId="0" fontId="48" fillId="0" borderId="12" xfId="0" applyFont="1" applyBorder="1" applyAlignment="1">
      <alignment horizontal="center" vertical="center"/>
    </xf>
    <xf numFmtId="0" fontId="0" fillId="0" borderId="0" xfId="0" applyFont="1" applyAlignment="1">
      <alignment vertical="center"/>
    </xf>
    <xf numFmtId="0" fontId="23" fillId="0" borderId="12" xfId="0" applyFont="1" applyBorder="1" applyAlignment="1">
      <alignment horizontal="center" vertical="center" wrapText="1"/>
    </xf>
    <xf numFmtId="0" fontId="0" fillId="0" borderId="0" xfId="0" applyFont="1" applyAlignment="1">
      <alignment horizontal="left" vertical="top" wrapText="1"/>
    </xf>
    <xf numFmtId="49" fontId="23" fillId="0" borderId="0" xfId="0" applyNumberFormat="1" applyFont="1" applyAlignment="1">
      <alignment vertical="center" wrapText="1"/>
    </xf>
    <xf numFmtId="0" fontId="23" fillId="0" borderId="0" xfId="0" applyFont="1" applyAlignment="1">
      <alignment horizontal="right" vertical="center" wrapText="1"/>
    </xf>
    <xf numFmtId="0" fontId="23" fillId="0" borderId="0" xfId="0" applyFont="1" applyAlignment="1">
      <alignment horizontal="left" vertical="top" wrapText="1"/>
    </xf>
    <xf numFmtId="0" fontId="81" fillId="35" borderId="19" xfId="0" applyFont="1" applyFill="1" applyBorder="1" applyAlignment="1">
      <alignment horizontal="center" vertical="center" wrapText="1"/>
    </xf>
    <xf numFmtId="0" fontId="23" fillId="0" borderId="0" xfId="0" applyFont="1" applyAlignment="1">
      <alignment horizontal="center" vertical="center" wrapText="1"/>
    </xf>
    <xf numFmtId="0" fontId="48" fillId="0" borderId="0" xfId="0" applyFont="1" applyAlignment="1">
      <alignment horizontal="center" vertical="center" wrapText="1"/>
    </xf>
    <xf numFmtId="0" fontId="0" fillId="0" borderId="12" xfId="0" applyFont="1" applyBorder="1" applyAlignment="1">
      <alignment horizontal="center" vertical="center" wrapText="1"/>
    </xf>
    <xf numFmtId="0" fontId="23" fillId="35" borderId="12" xfId="0" applyFont="1" applyFill="1" applyBorder="1" applyAlignment="1">
      <alignment horizontal="left" vertical="center" wrapText="1"/>
    </xf>
    <xf numFmtId="49" fontId="23" fillId="0" borderId="12" xfId="0" applyNumberFormat="1" applyFont="1" applyBorder="1" applyAlignment="1">
      <alignment horizontal="left" vertical="center" wrapText="1"/>
    </xf>
    <xf numFmtId="0" fontId="55" fillId="48" borderId="0" xfId="0" applyFont="1" applyFill="1" applyAlignment="1">
      <alignment horizontal="left" vertical="center"/>
    </xf>
    <xf numFmtId="49" fontId="23" fillId="0" borderId="20" xfId="0" applyNumberFormat="1" applyFont="1" applyBorder="1" applyAlignment="1">
      <alignment horizontal="left" vertical="center" wrapText="1"/>
    </xf>
    <xf numFmtId="0" fontId="40" fillId="0" borderId="0" xfId="0" applyFont="1" applyAlignment="1">
      <alignment horizontal="left" vertical="center"/>
    </xf>
    <xf numFmtId="0" fontId="40" fillId="0" borderId="24" xfId="0" applyFont="1" applyBorder="1" applyAlignment="1">
      <alignment horizontal="left" vertical="center"/>
    </xf>
    <xf numFmtId="0" fontId="40" fillId="0" borderId="30" xfId="0" applyFont="1" applyBorder="1" applyAlignment="1">
      <alignment horizontal="left" vertical="center"/>
    </xf>
    <xf numFmtId="0" fontId="40" fillId="0" borderId="27" xfId="0" applyFont="1" applyBorder="1" applyAlignment="1">
      <alignment horizontal="left" vertical="center"/>
    </xf>
    <xf numFmtId="0" fontId="0" fillId="0" borderId="27" xfId="0" applyFont="1" applyBorder="1" applyAlignment="1">
      <alignment vertical="center"/>
    </xf>
    <xf numFmtId="0" fontId="40" fillId="0" borderId="29" xfId="0" applyFont="1" applyBorder="1" applyAlignment="1">
      <alignment horizontal="left" vertical="center"/>
    </xf>
    <xf numFmtId="49" fontId="23" fillId="0" borderId="0" xfId="0" applyNumberFormat="1" applyFont="1" applyAlignment="1">
      <alignment vertical="center" wrapText="1"/>
    </xf>
    <xf numFmtId="0" fontId="23" fillId="0" borderId="0" xfId="0" applyFont="1" applyAlignment="1">
      <alignment horizontal="center" vertical="center" wrapText="1"/>
    </xf>
    <xf numFmtId="0" fontId="48" fillId="0" borderId="0" xfId="0" applyFont="1" applyAlignment="1">
      <alignment horizontal="center" vertical="center" wrapText="1"/>
    </xf>
    <xf numFmtId="49" fontId="23" fillId="0" borderId="12" xfId="0" applyNumberFormat="1" applyFont="1" applyBorder="1" applyAlignment="1">
      <alignment horizontal="left" vertical="center" wrapText="1"/>
    </xf>
    <xf numFmtId="0" fontId="45" fillId="0" borderId="17" xfId="0" applyFont="1" applyBorder="1" applyAlignment="1">
      <alignment vertical="top" wrapText="1"/>
    </xf>
    <xf numFmtId="0" fontId="0" fillId="0" borderId="0" xfId="0" applyFont="1" applyAlignment="1">
      <alignment vertical="center"/>
    </xf>
    <xf numFmtId="0" fontId="23" fillId="35" borderId="12" xfId="0" applyFont="1" applyFill="1" applyBorder="1" applyAlignment="1">
      <alignment horizontal="left" vertical="center" wrapText="1"/>
    </xf>
    <xf numFmtId="0" fontId="23" fillId="0" borderId="0" xfId="0" applyFont="1" applyAlignment="1">
      <alignment horizontal="center" vertical="center"/>
    </xf>
    <xf numFmtId="49" fontId="23" fillId="0" borderId="0" xfId="0" applyNumberFormat="1" applyFont="1" applyAlignment="1">
      <alignment vertical="center" wrapText="1"/>
    </xf>
    <xf numFmtId="0" fontId="81" fillId="35" borderId="19" xfId="0" applyFont="1" applyFill="1" applyBorder="1" applyAlignment="1">
      <alignment horizontal="center" vertical="center" wrapText="1"/>
    </xf>
    <xf numFmtId="0" fontId="0" fillId="0" borderId="12" xfId="0" applyFont="1" applyBorder="1" applyAlignment="1">
      <alignment horizontal="center" vertical="center" wrapText="1"/>
    </xf>
    <xf numFmtId="0" fontId="48" fillId="0" borderId="0" xfId="0" applyFont="1" applyAlignment="1">
      <alignment horizontal="left" vertical="center" indent="1"/>
    </xf>
    <xf numFmtId="0" fontId="48" fillId="0" borderId="0" xfId="0" applyFont="1" applyAlignment="1">
      <alignment horizontal="left" vertical="center" wrapText="1"/>
    </xf>
    <xf numFmtId="49" fontId="48" fillId="0" borderId="0" xfId="0" applyNumberFormat="1" applyFont="1" applyAlignment="1">
      <alignment vertical="top"/>
    </xf>
    <xf numFmtId="49" fontId="108" fillId="0" borderId="0" xfId="0" applyNumberFormat="1" applyFont="1" applyAlignment="1">
      <alignment vertical="top"/>
    </xf>
    <xf numFmtId="49" fontId="98" fillId="0" borderId="19" xfId="0" applyNumberFormat="1" applyFont="1" applyBorder="1" applyAlignment="1">
      <alignment horizontal="left" vertical="center"/>
    </xf>
    <xf numFmtId="49" fontId="48" fillId="0" borderId="19" xfId="0" applyNumberFormat="1" applyFont="1" applyBorder="1" applyAlignment="1">
      <alignment horizontal="left" vertical="center" indent="3"/>
    </xf>
    <xf numFmtId="49" fontId="48" fillId="0" borderId="19" xfId="0" applyNumberFormat="1" applyFont="1" applyBorder="1" applyAlignment="1">
      <alignment horizontal="center" vertical="center" wrapText="1"/>
    </xf>
    <xf numFmtId="49" fontId="48" fillId="0" borderId="0" xfId="0" applyNumberFormat="1" applyFont="1" applyAlignment="1">
      <alignment horizontal="left" vertical="center"/>
    </xf>
    <xf numFmtId="49" fontId="98" fillId="0" borderId="0" xfId="0" applyNumberFormat="1" applyFont="1" applyAlignment="1">
      <alignment horizontal="left" vertical="center"/>
    </xf>
    <xf numFmtId="49" fontId="48" fillId="0" borderId="0" xfId="0" applyNumberFormat="1" applyFont="1" applyAlignment="1">
      <alignment horizontal="left" vertical="center" indent="2"/>
    </xf>
    <xf numFmtId="49" fontId="48" fillId="0" borderId="0" xfId="0" applyNumberFormat="1" applyFont="1" applyAlignment="1">
      <alignment horizontal="center" vertical="center" wrapText="1"/>
    </xf>
    <xf numFmtId="49" fontId="48" fillId="0" borderId="0" xfId="0" applyNumberFormat="1" applyFont="1" applyAlignment="1">
      <alignment horizontal="left" vertical="center" indent="1"/>
    </xf>
    <xf numFmtId="0" fontId="0" fillId="0" borderId="0" xfId="0" applyFont="1" applyAlignment="1">
      <alignment vertical="center"/>
    </xf>
    <xf numFmtId="0" fontId="23" fillId="0" borderId="0" xfId="0" applyFont="1" applyAlignment="1">
      <alignment horizontal="center" vertical="center" wrapText="1"/>
    </xf>
    <xf numFmtId="49" fontId="23" fillId="0" borderId="0" xfId="0" applyNumberFormat="1" applyFont="1" applyAlignment="1">
      <alignment vertical="center" wrapText="1"/>
    </xf>
    <xf numFmtId="0" fontId="47" fillId="0" borderId="0" xfId="0" applyFont="1" applyAlignment="1">
      <alignment horizontal="center" vertical="center" wrapText="1"/>
    </xf>
    <xf numFmtId="0" fontId="23" fillId="35" borderId="12" xfId="0" applyFont="1" applyFill="1" applyBorder="1" applyAlignment="1">
      <alignment horizontal="center" vertical="center" wrapText="1"/>
    </xf>
    <xf numFmtId="0" fontId="48" fillId="0" borderId="0" xfId="0" applyFont="1" applyAlignment="1">
      <alignment horizontal="center" vertical="center" wrapText="1"/>
    </xf>
    <xf numFmtId="0" fontId="23" fillId="0" borderId="0" xfId="0" applyFont="1" applyAlignment="1">
      <alignment horizontal="center" vertical="center" wrapText="1"/>
    </xf>
    <xf numFmtId="0" fontId="23" fillId="0" borderId="0" xfId="0" applyFont="1" applyAlignment="1">
      <alignment horizontal="left" vertical="top" wrapText="1"/>
    </xf>
    <xf numFmtId="0" fontId="0" fillId="0" borderId="13" xfId="0" applyFont="1" applyBorder="1" applyAlignment="1">
      <alignment horizontal="center" vertical="center" wrapText="1"/>
    </xf>
    <xf numFmtId="0" fontId="81" fillId="35" borderId="19" xfId="0" applyFont="1" applyFill="1" applyBorder="1" applyAlignment="1">
      <alignment horizontal="center" vertical="center" wrapText="1"/>
    </xf>
    <xf numFmtId="0" fontId="23" fillId="35" borderId="12" xfId="0" applyFont="1" applyFill="1" applyBorder="1" applyAlignment="1">
      <alignment horizontal="left" vertical="center" wrapText="1"/>
    </xf>
    <xf numFmtId="49" fontId="23" fillId="35" borderId="12" xfId="0" applyNumberFormat="1" applyFont="1" applyFill="1" applyBorder="1" applyAlignment="1">
      <alignment horizontal="center" vertical="center" wrapText="1"/>
    </xf>
    <xf numFmtId="0" fontId="0" fillId="0" borderId="12" xfId="0" applyFont="1" applyBorder="1" applyAlignment="1">
      <alignment horizontal="center" vertical="center" wrapText="1"/>
    </xf>
    <xf numFmtId="0" fontId="48" fillId="0" borderId="0" xfId="0" applyFont="1" applyAlignment="1">
      <alignment horizontal="center" vertical="center"/>
    </xf>
    <xf numFmtId="0" fontId="23" fillId="0" borderId="0" xfId="0" applyFont="1" applyAlignment="1">
      <alignment horizontal="right" vertical="center" wrapText="1"/>
    </xf>
    <xf numFmtId="0" fontId="81" fillId="35" borderId="0" xfId="0" applyFont="1" applyFill="1" applyAlignment="1">
      <alignment horizontal="center" vertical="center" wrapText="1"/>
    </xf>
    <xf numFmtId="49" fontId="23" fillId="0" borderId="12" xfId="0" applyNumberFormat="1" applyFont="1" applyBorder="1" applyAlignment="1">
      <alignment horizontal="left" vertical="center" wrapText="1"/>
    </xf>
    <xf numFmtId="0" fontId="48" fillId="0" borderId="0" xfId="0" applyFont="1" applyAlignment="1">
      <alignment horizontal="left" vertical="center" indent="1"/>
    </xf>
    <xf numFmtId="49" fontId="108" fillId="0" borderId="0" xfId="0" applyNumberFormat="1" applyFont="1" applyAlignment="1">
      <alignment vertical="top"/>
    </xf>
    <xf numFmtId="49" fontId="23" fillId="0" borderId="12" xfId="0" applyNumberFormat="1" applyFont="1" applyBorder="1" applyAlignment="1">
      <alignment vertical="center" wrapText="1"/>
    </xf>
    <xf numFmtId="0" fontId="48" fillId="0" borderId="0" xfId="0" applyFont="1" applyAlignment="1">
      <alignment horizontal="center" vertical="center"/>
    </xf>
    <xf numFmtId="0" fontId="23" fillId="40" borderId="12" xfId="0" applyFont="1" applyFill="1" applyBorder="1" applyAlignment="1">
      <alignment horizontal="left" vertical="center" wrapText="1" indent="6"/>
    </xf>
    <xf numFmtId="4" fontId="23" fillId="0" borderId="17" xfId="0" applyNumberFormat="1" applyFont="1" applyBorder="1" applyAlignment="1">
      <alignment horizontal="right" vertical="center" wrapText="1"/>
    </xf>
    <xf numFmtId="4" fontId="23" fillId="0" borderId="23" xfId="0" applyNumberFormat="1" applyFont="1" applyBorder="1" applyAlignment="1">
      <alignment horizontal="right" vertical="center" wrapText="1"/>
    </xf>
    <xf numFmtId="0" fontId="0" fillId="0" borderId="0" xfId="0" applyFont="1" applyAlignment="1">
      <alignment vertical="center"/>
    </xf>
    <xf numFmtId="49" fontId="23" fillId="0" borderId="0" xfId="0" applyNumberFormat="1" applyFont="1" applyAlignment="1">
      <alignment vertical="center" wrapText="1"/>
    </xf>
    <xf numFmtId="0" fontId="23" fillId="0" borderId="17" xfId="0" applyFont="1" applyBorder="1" applyAlignment="1">
      <alignment horizontal="center" vertical="center" wrapText="1"/>
    </xf>
    <xf numFmtId="0" fontId="81" fillId="35" borderId="19" xfId="0" applyFont="1" applyFill="1" applyBorder="1" applyAlignment="1">
      <alignment horizontal="center" vertical="center" wrapText="1"/>
    </xf>
    <xf numFmtId="0" fontId="48" fillId="0" borderId="0" xfId="0" applyFont="1" applyAlignment="1">
      <alignment horizontal="center" vertical="center" wrapText="1"/>
    </xf>
    <xf numFmtId="0" fontId="23" fillId="0" borderId="0" xfId="0" applyFont="1" applyAlignment="1">
      <alignment horizontal="right" vertical="center" wrapText="1"/>
    </xf>
    <xf numFmtId="0" fontId="23" fillId="0" borderId="0" xfId="0" applyFont="1" applyAlignment="1">
      <alignment horizontal="center" vertical="center" wrapText="1"/>
    </xf>
    <xf numFmtId="0" fontId="0" fillId="0" borderId="12" xfId="0" applyFont="1" applyBorder="1" applyAlignment="1">
      <alignment horizontal="center" vertical="center" wrapText="1"/>
    </xf>
    <xf numFmtId="0" fontId="23" fillId="35" borderId="12" xfId="0" applyFont="1" applyFill="1" applyBorder="1" applyAlignment="1">
      <alignment horizontal="left" vertical="center" wrapText="1"/>
    </xf>
    <xf numFmtId="49" fontId="23" fillId="0" borderId="12" xfId="0" applyNumberFormat="1" applyFont="1" applyBorder="1" applyAlignment="1">
      <alignment horizontal="left" vertical="center" wrapText="1"/>
    </xf>
    <xf numFmtId="4" fontId="47" fillId="0" borderId="12" xfId="0" applyNumberFormat="1" applyFont="1" applyBorder="1" applyAlignment="1">
      <alignment horizontal="right" vertical="center" wrapText="1"/>
    </xf>
    <xf numFmtId="177" fontId="47" fillId="0" borderId="12" xfId="0" applyNumberFormat="1" applyFont="1" applyBorder="1" applyAlignment="1">
      <alignment horizontal="right" vertical="center" wrapText="1"/>
    </xf>
    <xf numFmtId="49" fontId="47" fillId="0" borderId="0" xfId="0" applyNumberFormat="1" applyFont="1" applyAlignment="1">
      <alignment vertical="center" wrapText="1"/>
    </xf>
    <xf numFmtId="0" fontId="47" fillId="0" borderId="0" xfId="0" applyFont="1" applyAlignment="1">
      <alignment horizontal="left" vertical="center" indent="1"/>
    </xf>
    <xf numFmtId="0" fontId="47" fillId="0" borderId="0" xfId="0" applyFont="1" applyAlignment="1">
      <alignment horizontal="center" vertical="center"/>
    </xf>
    <xf numFmtId="0" fontId="47" fillId="0" borderId="0" xfId="0" applyFont="1" applyAlignment="1">
      <alignment horizontal="left" vertical="center" wrapText="1"/>
    </xf>
    <xf numFmtId="0" fontId="47" fillId="0" borderId="0" xfId="0" applyFont="1" applyAlignment="1">
      <alignment vertical="center" wrapText="1"/>
    </xf>
    <xf numFmtId="49" fontId="47" fillId="0" borderId="12" xfId="0" applyNumberFormat="1" applyFont="1" applyBorder="1" applyAlignment="1">
      <alignment vertical="center" wrapText="1"/>
    </xf>
    <xf numFmtId="0" fontId="47" fillId="0" borderId="0" xfId="0" applyFont="1" applyAlignment="1">
      <alignment vertical="center"/>
    </xf>
    <xf numFmtId="0" fontId="47" fillId="0" borderId="0" xfId="0" applyFont="1" applyAlignment="1">
      <alignment horizontal="center" vertical="center"/>
    </xf>
    <xf numFmtId="0" fontId="47" fillId="0" borderId="0" xfId="0" applyFont="1" applyAlignment="1">
      <alignment vertical="center"/>
    </xf>
    <xf numFmtId="0" fontId="70" fillId="0" borderId="0" xfId="0" applyFont="1" applyAlignment="1">
      <alignment vertical="center" wrapText="1"/>
    </xf>
    <xf numFmtId="0" fontId="0" fillId="0" borderId="15" xfId="0" applyFont="1" applyBorder="1" applyAlignment="1">
      <alignment vertical="center"/>
    </xf>
    <xf numFmtId="0" fontId="48" fillId="0" borderId="12" xfId="0" applyFont="1" applyBorder="1" applyAlignment="1">
      <alignment horizontal="center" vertical="center" wrapText="1"/>
    </xf>
    <xf numFmtId="0" fontId="73" fillId="0" borderId="0" xfId="0" applyFont="1" applyAlignment="1">
      <alignment horizontal="left" vertical="center" indent="1"/>
    </xf>
    <xf numFmtId="0" fontId="73" fillId="0" borderId="0" xfId="0" applyFont="1" applyAlignment="1">
      <alignment horizontal="left" vertical="center" indent="1"/>
    </xf>
    <xf numFmtId="0" fontId="48" fillId="0" borderId="12" xfId="0" applyFont="1" applyBorder="1" applyAlignment="1">
      <alignment vertical="center" wrapText="1"/>
    </xf>
    <xf numFmtId="0" fontId="73" fillId="0" borderId="0" xfId="0" applyFont="1" applyAlignment="1">
      <alignment horizontal="center" vertical="center"/>
    </xf>
    <xf numFmtId="0" fontId="73" fillId="0" borderId="0" xfId="0" applyFont="1" applyAlignment="1">
      <alignment horizontal="left" vertical="center" wrapText="1"/>
    </xf>
    <xf numFmtId="49" fontId="73" fillId="0" borderId="0" xfId="0" applyNumberFormat="1" applyFont="1" applyAlignment="1">
      <alignment horizontal="left" vertical="center"/>
    </xf>
    <xf numFmtId="0" fontId="23" fillId="0" borderId="0" xfId="0" applyFont="1" applyAlignment="1">
      <alignment horizontal="center" vertical="center"/>
    </xf>
    <xf numFmtId="0" fontId="73" fillId="0" borderId="0" xfId="0" applyFont="1" applyAlignment="1">
      <alignment horizontal="center" vertical="center"/>
    </xf>
    <xf numFmtId="4" fontId="23" fillId="0" borderId="13" xfId="0" applyNumberFormat="1" applyFont="1" applyBorder="1" applyAlignment="1">
      <alignment horizontal="right" vertical="center" wrapText="1"/>
    </xf>
    <xf numFmtId="0" fontId="48" fillId="0" borderId="12" xfId="0" applyFont="1" applyBorder="1" applyAlignment="1">
      <alignment horizontal="left" vertical="center" wrapText="1" indent="4"/>
    </xf>
    <xf numFmtId="0" fontId="48" fillId="0" borderId="12" xfId="0" applyFont="1" applyBorder="1" applyAlignment="1">
      <alignment horizontal="left" vertical="center" wrapText="1" indent="6"/>
    </xf>
    <xf numFmtId="0" fontId="48" fillId="0" borderId="12" xfId="0" applyFont="1" applyBorder="1" applyAlignment="1">
      <alignment vertical="top" wrapText="1"/>
    </xf>
    <xf numFmtId="49" fontId="98" fillId="0" borderId="14" xfId="0" applyNumberFormat="1" applyFont="1" applyBorder="1" applyAlignment="1">
      <alignment horizontal="left" vertical="center"/>
    </xf>
    <xf numFmtId="49" fontId="48" fillId="0" borderId="15" xfId="0" applyNumberFormat="1" applyFont="1" applyBorder="1" applyAlignment="1">
      <alignment horizontal="left" vertical="center" indent="4"/>
    </xf>
    <xf numFmtId="49" fontId="48" fillId="0" borderId="15" xfId="0" applyNumberFormat="1" applyFont="1" applyBorder="1" applyAlignment="1">
      <alignment horizontal="center" vertical="center" wrapText="1"/>
    </xf>
    <xf numFmtId="49" fontId="48" fillId="0" borderId="13" xfId="0" applyNumberFormat="1" applyFont="1" applyBorder="1" applyAlignment="1">
      <alignment horizontal="center" vertical="center" wrapText="1"/>
    </xf>
    <xf numFmtId="4" fontId="23" fillId="0" borderId="36" xfId="0" applyNumberFormat="1" applyFont="1" applyBorder="1" applyAlignment="1">
      <alignment horizontal="right" vertical="center" wrapText="1"/>
    </xf>
    <xf numFmtId="0" fontId="23" fillId="36" borderId="12" xfId="0" applyFont="1" applyFill="1" applyBorder="1" applyAlignment="1" applyProtection="1">
      <alignment horizontal="left" vertical="center" wrapText="1" indent="7"/>
      <protection locked="0"/>
    </xf>
    <xf numFmtId="0" fontId="23" fillId="37" borderId="15" xfId="0" applyFont="1" applyFill="1" applyBorder="1" applyAlignment="1">
      <alignment horizontal="left" vertical="center" wrapText="1" indent="6"/>
    </xf>
    <xf numFmtId="4" fontId="23" fillId="37" borderId="15" xfId="0" applyNumberFormat="1" applyFont="1" applyFill="1" applyBorder="1" applyAlignment="1">
      <alignment horizontal="right" vertical="center" wrapText="1"/>
    </xf>
    <xf numFmtId="4" fontId="48" fillId="37" borderId="15" xfId="0" applyNumberFormat="1" applyFont="1" applyFill="1" applyBorder="1" applyAlignment="1">
      <alignment horizontal="center" vertical="center" wrapText="1"/>
    </xf>
    <xf numFmtId="4" fontId="23" fillId="37" borderId="13" xfId="0" applyNumberFormat="1" applyFont="1" applyFill="1" applyBorder="1" applyAlignment="1">
      <alignment horizontal="right" vertical="center" wrapText="1"/>
    </xf>
    <xf numFmtId="4" fontId="48" fillId="37" borderId="13" xfId="0" applyNumberFormat="1" applyFont="1" applyFill="1" applyBorder="1" applyAlignment="1">
      <alignment horizontal="center" vertical="center" wrapText="1"/>
    </xf>
    <xf numFmtId="177" fontId="23" fillId="37" borderId="13" xfId="0" applyNumberFormat="1" applyFont="1" applyFill="1" applyBorder="1" applyAlignment="1">
      <alignment horizontal="right" vertical="center" wrapText="1"/>
    </xf>
    <xf numFmtId="0" fontId="23" fillId="40" borderId="12" xfId="0" applyFont="1" applyFill="1" applyBorder="1" applyAlignment="1">
      <alignment horizontal="left" vertical="center" wrapText="1" indent="1"/>
    </xf>
    <xf numFmtId="0" fontId="48" fillId="0" borderId="12" xfId="0" applyFont="1" applyBorder="1" applyAlignment="1">
      <alignment horizontal="left" vertical="center" wrapText="1" indent="5"/>
    </xf>
    <xf numFmtId="49" fontId="73" fillId="0" borderId="24" xfId="0" applyNumberFormat="1" applyFont="1" applyBorder="1" applyAlignment="1">
      <alignment vertical="top"/>
    </xf>
    <xf numFmtId="49" fontId="48" fillId="0" borderId="24" xfId="0" applyNumberFormat="1" applyFont="1" applyBorder="1" applyAlignment="1">
      <alignment vertical="top"/>
    </xf>
    <xf numFmtId="0" fontId="23" fillId="0" borderId="12" xfId="0" applyFont="1" applyBorder="1" applyAlignment="1">
      <alignment horizontal="left" vertical="center" wrapText="1" indent="1"/>
    </xf>
    <xf numFmtId="4" fontId="48" fillId="0" borderId="12" xfId="0" applyNumberFormat="1" applyFont="1" applyBorder="1" applyAlignment="1">
      <alignment horizontal="right" vertical="center" wrapText="1"/>
    </xf>
    <xf numFmtId="177" fontId="48" fillId="0" borderId="12" xfId="0" applyNumberFormat="1" applyFont="1" applyBorder="1" applyAlignment="1">
      <alignment horizontal="right" vertical="center" wrapText="1"/>
    </xf>
    <xf numFmtId="177" fontId="23" fillId="36" borderId="14" xfId="0" applyNumberFormat="1" applyFont="1" applyFill="1" applyBorder="1" applyAlignment="1" applyProtection="1">
      <alignment horizontal="right" vertical="center" wrapText="1"/>
      <protection locked="0"/>
    </xf>
    <xf numFmtId="4" fontId="48" fillId="0" borderId="14" xfId="0" applyNumberFormat="1" applyFont="1" applyBorder="1" applyAlignment="1">
      <alignment horizontal="center" vertical="center" wrapText="1"/>
    </xf>
    <xf numFmtId="4" fontId="23" fillId="36" borderId="13" xfId="0" applyNumberFormat="1" applyFont="1" applyFill="1" applyBorder="1" applyAlignment="1" applyProtection="1">
      <alignment horizontal="right" vertical="center" wrapText="1"/>
      <protection locked="0"/>
    </xf>
    <xf numFmtId="49" fontId="23" fillId="37" borderId="27" xfId="0" applyNumberFormat="1" applyFont="1" applyFill="1" applyBorder="1" applyAlignment="1">
      <alignment horizontal="center" vertical="center" wrapText="1"/>
    </xf>
    <xf numFmtId="49" fontId="47" fillId="0" borderId="0" xfId="0" applyNumberFormat="1" applyFont="1" applyAlignment="1">
      <alignment vertical="center" wrapText="1"/>
    </xf>
    <xf numFmtId="0" fontId="47" fillId="0" borderId="0" xfId="0" applyFont="1" applyAlignment="1">
      <alignment horizontal="center" vertical="center" wrapText="1"/>
    </xf>
    <xf numFmtId="0" fontId="57" fillId="35" borderId="0" xfId="0" applyFont="1" applyFill="1" applyAlignment="1">
      <alignment horizontal="center" vertical="center" wrapText="1"/>
    </xf>
    <xf numFmtId="0" fontId="57" fillId="0" borderId="0" xfId="0" applyFont="1" applyAlignment="1">
      <alignment vertical="center" wrapText="1"/>
    </xf>
    <xf numFmtId="0" fontId="48" fillId="0" borderId="0" xfId="0" applyFont="1" applyAlignment="1">
      <alignment vertical="center"/>
    </xf>
    <xf numFmtId="0" fontId="49" fillId="0" borderId="0" xfId="0" applyFont="1" applyAlignment="1">
      <alignment vertical="center"/>
    </xf>
    <xf numFmtId="0" fontId="48" fillId="0" borderId="0" xfId="0" applyFont="1" applyAlignment="1">
      <alignment vertical="center"/>
    </xf>
    <xf numFmtId="0" fontId="48" fillId="0" borderId="0" xfId="0" applyFont="1" applyAlignment="1">
      <alignment vertical="center"/>
    </xf>
    <xf numFmtId="0" fontId="0" fillId="0" borderId="0" xfId="0" applyFont="1" applyAlignment="1">
      <alignment vertical="center"/>
    </xf>
    <xf numFmtId="49" fontId="23" fillId="0" borderId="0" xfId="0" applyNumberFormat="1" applyFont="1" applyAlignment="1">
      <alignment horizontal="center" vertical="center" wrapText="1"/>
    </xf>
    <xf numFmtId="49" fontId="0" fillId="0" borderId="19" xfId="0" applyNumberFormat="1" applyFont="1" applyBorder="1" applyAlignment="1">
      <alignment horizontal="left" vertical="center" wrapText="1"/>
    </xf>
    <xf numFmtId="49" fontId="23" fillId="0" borderId="19" xfId="0" applyNumberFormat="1" applyFont="1" applyBorder="1" applyAlignment="1">
      <alignment horizontal="center" vertical="center" wrapText="1"/>
    </xf>
    <xf numFmtId="0" fontId="47" fillId="0" borderId="0" xfId="0" applyFont="1" applyAlignment="1">
      <alignment horizontal="center" vertical="center" wrapText="1"/>
    </xf>
    <xf numFmtId="0" fontId="48" fillId="0" borderId="0" xfId="0" applyFont="1" applyAlignment="1">
      <alignment horizontal="center" vertical="center" wrapText="1"/>
    </xf>
    <xf numFmtId="0" fontId="23" fillId="0" borderId="0" xfId="0" applyFont="1" applyAlignment="1">
      <alignment horizontal="center" vertical="center" wrapText="1"/>
    </xf>
    <xf numFmtId="49" fontId="23" fillId="0" borderId="12" xfId="0" applyNumberFormat="1" applyFont="1" applyBorder="1" applyAlignment="1">
      <alignment horizontal="left" vertical="center" wrapText="1"/>
    </xf>
    <xf numFmtId="0" fontId="23" fillId="35" borderId="12" xfId="0" applyFont="1" applyFill="1" applyBorder="1" applyAlignment="1">
      <alignment horizontal="left" vertical="center" wrapText="1"/>
    </xf>
    <xf numFmtId="0" fontId="48" fillId="0" borderId="0" xfId="0" applyFont="1" applyAlignment="1">
      <alignment horizontal="center" vertical="center"/>
    </xf>
    <xf numFmtId="49" fontId="23" fillId="0" borderId="0" xfId="0" applyNumberFormat="1" applyFont="1" applyAlignment="1">
      <alignment horizontal="center" vertical="top"/>
    </xf>
    <xf numFmtId="49" fontId="32" fillId="0" borderId="0" xfId="0" applyNumberFormat="1" applyFont="1" applyAlignment="1">
      <alignment horizontal="center" vertical="center"/>
    </xf>
    <xf numFmtId="0" fontId="0" fillId="0" borderId="0" xfId="0" applyFont="1" applyAlignment="1">
      <alignment horizontal="left" vertical="center"/>
    </xf>
    <xf numFmtId="0" fontId="55" fillId="0" borderId="0" xfId="0" applyFont="1" applyAlignment="1">
      <alignment horizontal="left" vertical="center"/>
    </xf>
    <xf numFmtId="49" fontId="0" fillId="0" borderId="0" xfId="0" applyNumberFormat="1" applyFont="1" applyAlignment="1">
      <alignment vertical="center"/>
    </xf>
    <xf numFmtId="0" fontId="0" fillId="0" borderId="0" xfId="0" applyFont="1" applyAlignment="1">
      <alignment horizontal="right" vertical="top"/>
    </xf>
    <xf numFmtId="0" fontId="40" fillId="37" borderId="29" xfId="0" applyFont="1" applyFill="1" applyBorder="1" applyAlignment="1">
      <alignment horizontal="left" vertical="center"/>
    </xf>
    <xf numFmtId="49" fontId="48" fillId="0" borderId="14" xfId="0" applyNumberFormat="1" applyFont="1" applyBorder="1" applyAlignment="1">
      <alignment horizontal="left" vertical="center" wrapText="1"/>
    </xf>
    <xf numFmtId="0" fontId="48" fillId="0" borderId="14" xfId="0" applyFont="1" applyBorder="1" applyAlignment="1">
      <alignment horizontal="left" vertical="center"/>
    </xf>
    <xf numFmtId="0" fontId="48" fillId="0" borderId="15" xfId="0" applyFont="1" applyBorder="1" applyAlignment="1">
      <alignment horizontal="left" vertical="center"/>
    </xf>
    <xf numFmtId="49" fontId="23" fillId="36" borderId="12" xfId="0" applyNumberFormat="1" applyFont="1" applyFill="1" applyBorder="1" applyAlignment="1" applyProtection="1">
      <alignment horizontal="left" vertical="center" wrapText="1" indent="6"/>
      <protection locked="0"/>
    </xf>
    <xf numFmtId="4" fontId="23" fillId="0" borderId="37" xfId="0" applyNumberFormat="1" applyFont="1" applyBorder="1" applyAlignment="1">
      <alignment horizontal="right" vertical="center" wrapText="1"/>
    </xf>
    <xf numFmtId="4" fontId="23" fillId="0" borderId="30" xfId="0" applyNumberFormat="1" applyFont="1" applyBorder="1" applyAlignment="1">
      <alignment horizontal="right" vertical="center" wrapText="1"/>
    </xf>
    <xf numFmtId="49" fontId="0" fillId="37" borderId="29" xfId="0" applyNumberFormat="1" applyFont="1" applyFill="1" applyBorder="1" applyAlignment="1">
      <alignment horizontal="center" vertical="center" wrapText="1"/>
    </xf>
    <xf numFmtId="0" fontId="0" fillId="0" borderId="0" xfId="0" applyFont="1" applyAlignment="1">
      <alignment vertical="center"/>
    </xf>
    <xf numFmtId="0" fontId="111" fillId="0" borderId="0" xfId="0" applyFont="1" applyAlignment="1">
      <alignment vertical="center" wrapText="1"/>
    </xf>
    <xf numFmtId="49" fontId="23" fillId="0" borderId="19" xfId="0" applyNumberFormat="1" applyFont="1" applyBorder="1" applyAlignment="1">
      <alignment horizontal="center" vertical="center" wrapText="1"/>
    </xf>
    <xf numFmtId="49" fontId="23" fillId="0" borderId="0" xfId="0" applyNumberFormat="1" applyFont="1" applyAlignment="1">
      <alignment horizontal="center" vertical="center" wrapText="1"/>
    </xf>
    <xf numFmtId="49" fontId="0" fillId="0" borderId="19" xfId="0" applyNumberFormat="1" applyFont="1" applyBorder="1" applyAlignment="1">
      <alignment horizontal="left" vertical="center" wrapText="1"/>
    </xf>
    <xf numFmtId="49" fontId="23" fillId="0" borderId="0" xfId="0" applyNumberFormat="1" applyFont="1" applyAlignment="1">
      <alignment vertical="center" wrapText="1"/>
    </xf>
    <xf numFmtId="0" fontId="47" fillId="0" borderId="0" xfId="0" applyFont="1" applyAlignment="1">
      <alignment horizontal="center" vertical="center" wrapText="1"/>
    </xf>
    <xf numFmtId="0" fontId="23" fillId="35" borderId="12" xfId="0" applyFont="1" applyFill="1" applyBorder="1" applyAlignment="1">
      <alignment horizontal="center" vertical="center" wrapText="1"/>
    </xf>
    <xf numFmtId="0" fontId="23" fillId="0" borderId="0" xfId="0" applyFont="1" applyAlignment="1">
      <alignment horizontal="left" vertical="top" wrapText="1"/>
    </xf>
    <xf numFmtId="0" fontId="48" fillId="0" borderId="0" xfId="0" applyFont="1" applyAlignment="1">
      <alignment horizontal="center" vertical="center" wrapText="1"/>
    </xf>
    <xf numFmtId="0" fontId="81" fillId="35" borderId="19" xfId="0" applyFont="1" applyFill="1" applyBorder="1" applyAlignment="1">
      <alignment horizontal="center" vertical="center" wrapText="1"/>
    </xf>
    <xf numFmtId="0" fontId="23" fillId="0" borderId="17" xfId="0" applyFont="1" applyBorder="1" applyAlignment="1">
      <alignment horizontal="center" vertical="center" wrapText="1"/>
    </xf>
    <xf numFmtId="0" fontId="23" fillId="0" borderId="0" xfId="0" applyFont="1" applyAlignment="1">
      <alignment horizontal="center" vertical="center" wrapText="1"/>
    </xf>
    <xf numFmtId="0" fontId="23" fillId="0" borderId="0" xfId="0" applyFont="1" applyAlignment="1">
      <alignment horizontal="right" vertical="center" wrapText="1"/>
    </xf>
    <xf numFmtId="0" fontId="0" fillId="0" borderId="12" xfId="0" applyFont="1" applyBorder="1" applyAlignment="1">
      <alignment horizontal="center" vertical="center" wrapText="1"/>
    </xf>
    <xf numFmtId="49" fontId="23" fillId="0" borderId="12" xfId="0" applyNumberFormat="1" applyFont="1" applyBorder="1" applyAlignment="1">
      <alignment horizontal="left" vertical="center" wrapText="1"/>
    </xf>
    <xf numFmtId="0" fontId="23" fillId="35" borderId="12" xfId="0" applyFont="1" applyFill="1" applyBorder="1" applyAlignment="1">
      <alignment horizontal="left" vertical="center" wrapText="1"/>
    </xf>
    <xf numFmtId="0" fontId="48" fillId="0" borderId="0" xfId="0" applyFont="1" applyAlignment="1">
      <alignment horizontal="center" vertical="center"/>
    </xf>
    <xf numFmtId="49" fontId="23" fillId="40" borderId="12" xfId="0" applyNumberFormat="1" applyFont="1" applyFill="1" applyBorder="1" applyAlignment="1">
      <alignment horizontal="center" vertical="center" wrapText="1"/>
    </xf>
    <xf numFmtId="49" fontId="48" fillId="0" borderId="12" xfId="0" applyNumberFormat="1" applyFont="1" applyBorder="1" applyAlignment="1">
      <alignment horizontal="center" vertical="center" wrapText="1"/>
    </xf>
    <xf numFmtId="0" fontId="47" fillId="0" borderId="0" xfId="0" applyFont="1" applyAlignment="1">
      <alignment horizontal="center" vertical="center" wrapText="1"/>
    </xf>
    <xf numFmtId="0" fontId="48" fillId="0" borderId="0" xfId="0" applyFont="1" applyAlignment="1">
      <alignment horizontal="center" vertical="center" wrapText="1"/>
    </xf>
    <xf numFmtId="49" fontId="23" fillId="35" borderId="12" xfId="0" applyNumberFormat="1" applyFont="1" applyFill="1" applyBorder="1" applyAlignment="1">
      <alignment horizontal="center" vertical="center" wrapText="1"/>
    </xf>
    <xf numFmtId="0" fontId="48" fillId="0" borderId="0" xfId="0" applyFont="1" applyAlignment="1">
      <alignment horizontal="center" vertical="center"/>
    </xf>
    <xf numFmtId="0" fontId="23" fillId="35" borderId="12" xfId="0" applyFont="1" applyFill="1" applyBorder="1" applyAlignment="1">
      <alignment horizontal="left" vertical="center" wrapText="1"/>
    </xf>
    <xf numFmtId="49" fontId="23" fillId="39" borderId="12" xfId="0" applyNumberFormat="1" applyFont="1" applyFill="1" applyBorder="1" applyAlignment="1" applyProtection="1">
      <alignment horizontal="left" vertical="center" wrapText="1" indent="1"/>
      <protection locked="0"/>
    </xf>
    <xf numFmtId="0" fontId="0" fillId="0" borderId="0" xfId="0" applyFont="1" applyAlignment="1">
      <alignment vertical="center"/>
    </xf>
    <xf numFmtId="0" fontId="23" fillId="0" borderId="0" xfId="0" applyFont="1" applyAlignment="1">
      <alignment horizontal="center" vertical="center" wrapText="1"/>
    </xf>
    <xf numFmtId="49" fontId="23" fillId="40" borderId="12" xfId="0" applyNumberFormat="1" applyFont="1" applyFill="1" applyBorder="1" applyAlignment="1">
      <alignment horizontal="center" vertical="center" wrapText="1"/>
    </xf>
    <xf numFmtId="49" fontId="23" fillId="0" borderId="19" xfId="0" applyNumberFormat="1" applyFont="1" applyBorder="1" applyAlignment="1">
      <alignment horizontal="center" vertical="center" wrapText="1"/>
    </xf>
    <xf numFmtId="49" fontId="23" fillId="0" borderId="0" xfId="0" applyNumberFormat="1" applyFont="1" applyAlignment="1">
      <alignment horizontal="center" vertical="center" wrapText="1"/>
    </xf>
    <xf numFmtId="49" fontId="0" fillId="0" borderId="19" xfId="0" applyNumberFormat="1" applyFont="1" applyBorder="1" applyAlignment="1">
      <alignment horizontal="left" vertical="center" wrapText="1"/>
    </xf>
    <xf numFmtId="49" fontId="23" fillId="0" borderId="0" xfId="0" applyNumberFormat="1" applyFont="1" applyAlignment="1">
      <alignment vertical="center" wrapText="1"/>
    </xf>
    <xf numFmtId="49" fontId="23" fillId="35" borderId="12" xfId="0" applyNumberFormat="1" applyFont="1" applyFill="1" applyBorder="1" applyAlignment="1">
      <alignment horizontal="center" vertical="center" wrapText="1"/>
    </xf>
    <xf numFmtId="0" fontId="48" fillId="35" borderId="0" xfId="0" applyFont="1" applyFill="1" applyAlignment="1">
      <alignment horizontal="center" vertical="center" wrapText="1"/>
    </xf>
    <xf numFmtId="0" fontId="0" fillId="35" borderId="12" xfId="0" applyFont="1" applyFill="1" applyBorder="1" applyAlignment="1">
      <alignment horizontal="center" vertical="center" wrapText="1"/>
    </xf>
    <xf numFmtId="0" fontId="23" fillId="35" borderId="24" xfId="0" applyFont="1" applyFill="1" applyBorder="1" applyAlignment="1">
      <alignment horizontal="center" vertical="center" wrapText="1"/>
    </xf>
    <xf numFmtId="0" fontId="47" fillId="0" borderId="0" xfId="0" applyFont="1" applyAlignment="1">
      <alignment horizontal="center" vertical="center" wrapText="1"/>
    </xf>
    <xf numFmtId="0" fontId="23" fillId="35" borderId="12" xfId="0" applyFont="1" applyFill="1" applyBorder="1" applyAlignment="1">
      <alignment horizontal="center" vertical="center" wrapText="1"/>
    </xf>
    <xf numFmtId="0" fontId="23" fillId="0" borderId="0" xfId="0" applyFont="1" applyAlignment="1">
      <alignment horizontal="left" vertical="top" wrapText="1"/>
    </xf>
    <xf numFmtId="0" fontId="48" fillId="0" borderId="0" xfId="0" applyFont="1" applyAlignment="1">
      <alignment horizontal="center" vertical="center" wrapText="1"/>
    </xf>
    <xf numFmtId="0" fontId="81" fillId="35" borderId="19" xfId="0" applyFont="1" applyFill="1" applyBorder="1" applyAlignment="1">
      <alignment horizontal="center" vertical="center" wrapText="1"/>
    </xf>
    <xf numFmtId="0" fontId="23" fillId="0" borderId="17" xfId="0" applyFont="1" applyBorder="1" applyAlignment="1">
      <alignment horizontal="center" vertical="center" wrapText="1"/>
    </xf>
    <xf numFmtId="0" fontId="23" fillId="0" borderId="12" xfId="0" applyFont="1" applyBorder="1" applyAlignment="1">
      <alignment horizontal="center" vertical="center" wrapText="1"/>
    </xf>
    <xf numFmtId="49" fontId="48" fillId="0" borderId="12" xfId="0" applyNumberFormat="1" applyFont="1" applyBorder="1" applyAlignment="1">
      <alignment horizontal="center" vertical="center" wrapText="1"/>
    </xf>
    <xf numFmtId="49" fontId="23" fillId="35" borderId="12" xfId="0" applyNumberFormat="1" applyFont="1" applyFill="1" applyBorder="1" applyAlignment="1">
      <alignment horizontal="center" vertical="center" wrapText="1"/>
    </xf>
    <xf numFmtId="0" fontId="23" fillId="0" borderId="0" xfId="0" applyFont="1" applyAlignment="1">
      <alignment horizontal="center" vertical="center" wrapText="1"/>
    </xf>
    <xf numFmtId="0" fontId="23" fillId="0" borderId="0" xfId="0" applyFont="1" applyAlignment="1">
      <alignment horizontal="right" vertical="center" wrapText="1"/>
    </xf>
    <xf numFmtId="0" fontId="0" fillId="0" borderId="12" xfId="0" applyFont="1" applyBorder="1" applyAlignment="1">
      <alignment horizontal="center" vertical="center" wrapText="1"/>
    </xf>
    <xf numFmtId="49" fontId="23" fillId="0" borderId="12" xfId="0" applyNumberFormat="1" applyFont="1" applyBorder="1" applyAlignment="1">
      <alignment horizontal="left" vertical="center" wrapText="1"/>
    </xf>
    <xf numFmtId="49" fontId="23" fillId="40" borderId="12" xfId="0" applyNumberFormat="1" applyFont="1" applyFill="1" applyBorder="1" applyAlignment="1">
      <alignment horizontal="left" vertical="center" wrapText="1"/>
    </xf>
    <xf numFmtId="49" fontId="23" fillId="39" borderId="12" xfId="0" applyNumberFormat="1" applyFont="1" applyFill="1" applyBorder="1" applyAlignment="1" applyProtection="1">
      <alignment horizontal="left" vertical="center" wrapText="1" indent="1"/>
      <protection locked="0"/>
    </xf>
    <xf numFmtId="0" fontId="23" fillId="35" borderId="12" xfId="0" applyFont="1" applyFill="1" applyBorder="1" applyAlignment="1">
      <alignment horizontal="left" vertical="center" wrapText="1"/>
    </xf>
    <xf numFmtId="0" fontId="48" fillId="0" borderId="0" xfId="0" applyFont="1" applyAlignment="1">
      <alignment horizontal="center" vertical="center"/>
    </xf>
    <xf numFmtId="0" fontId="37" fillId="0" borderId="0" xfId="0" applyFont="1" applyAlignment="1">
      <alignment horizontal="center" vertical="center" wrapText="1"/>
    </xf>
    <xf numFmtId="177" fontId="23" fillId="37" borderId="15" xfId="0" applyNumberFormat="1" applyFont="1" applyFill="1" applyBorder="1" applyAlignment="1">
      <alignment horizontal="right" vertical="center" wrapText="1"/>
    </xf>
    <xf numFmtId="0" fontId="112" fillId="0" borderId="0" xfId="0" applyFont="1" applyAlignment="1">
      <alignment vertical="center" wrapText="1"/>
    </xf>
    <xf numFmtId="0" fontId="112" fillId="35" borderId="0" xfId="0" applyFont="1" applyFill="1" applyAlignment="1">
      <alignment horizontal="center" vertical="center" wrapText="1"/>
    </xf>
    <xf numFmtId="0" fontId="48" fillId="35" borderId="12" xfId="0" applyFont="1" applyFill="1" applyBorder="1" applyAlignment="1">
      <alignment horizontal="left" vertical="center" wrapText="1" indent="3"/>
    </xf>
    <xf numFmtId="49" fontId="40" fillId="37" borderId="27" xfId="0" applyNumberFormat="1" applyFont="1" applyFill="1" applyBorder="1" applyAlignment="1">
      <alignment horizontal="left" vertical="center"/>
    </xf>
    <xf numFmtId="0" fontId="112" fillId="0" borderId="0" xfId="0" applyFont="1" applyAlignment="1">
      <alignment horizontal="center" vertical="center" wrapText="1"/>
    </xf>
    <xf numFmtId="49" fontId="48" fillId="0" borderId="0" xfId="0" applyNumberFormat="1" applyFont="1" applyAlignment="1">
      <alignment horizontal="left" vertical="center" wrapText="1" indent="1"/>
    </xf>
    <xf numFmtId="0" fontId="48" fillId="0" borderId="0" xfId="0" applyFont="1" applyAlignment="1">
      <alignment horizontal="left" vertical="center" wrapText="1" indent="4"/>
    </xf>
    <xf numFmtId="0" fontId="48" fillId="0" borderId="0" xfId="0" applyFont="1" applyAlignment="1">
      <alignment horizontal="left" vertical="center" wrapText="1" indent="1"/>
    </xf>
    <xf numFmtId="49" fontId="23" fillId="37" borderId="14" xfId="0" applyNumberFormat="1" applyFont="1" applyFill="1" applyBorder="1" applyAlignment="1">
      <alignment horizontal="center" vertical="center" wrapText="1"/>
    </xf>
    <xf numFmtId="0" fontId="48" fillId="0" borderId="24" xfId="0" applyFont="1" applyBorder="1" applyAlignment="1">
      <alignment horizontal="left" vertical="center" wrapText="1" indent="1"/>
    </xf>
    <xf numFmtId="0" fontId="47" fillId="0" borderId="0" xfId="0" applyFont="1" applyAlignment="1">
      <alignment horizontal="left" vertical="center"/>
    </xf>
    <xf numFmtId="49" fontId="47" fillId="0" borderId="0" xfId="0" applyNumberFormat="1" applyFont="1" applyAlignment="1">
      <alignment horizontal="left" vertical="center"/>
    </xf>
    <xf numFmtId="0" fontId="47" fillId="0" borderId="0" xfId="0" applyFont="1" applyAlignment="1">
      <alignment horizontal="left" vertical="center"/>
    </xf>
    <xf numFmtId="0" fontId="70" fillId="0" borderId="0" xfId="0" applyFont="1" applyAlignment="1">
      <alignment horizontal="left" vertical="center"/>
    </xf>
    <xf numFmtId="0" fontId="48" fillId="0" borderId="0" xfId="0" applyFont="1" applyAlignment="1">
      <alignment horizontal="left" vertical="center"/>
    </xf>
    <xf numFmtId="49" fontId="23" fillId="0" borderId="0" xfId="0" applyNumberFormat="1" applyFont="1" applyAlignment="1">
      <alignment horizontal="center" vertical="center" wrapText="1"/>
    </xf>
    <xf numFmtId="49" fontId="23" fillId="0" borderId="19" xfId="0" applyNumberFormat="1" applyFont="1" applyBorder="1" applyAlignment="1">
      <alignment horizontal="center" vertical="center" wrapText="1"/>
    </xf>
    <xf numFmtId="49" fontId="23" fillId="0" borderId="19" xfId="0" applyNumberFormat="1" applyFont="1" applyBorder="1" applyAlignment="1">
      <alignment horizontal="left" vertical="center" wrapText="1"/>
    </xf>
    <xf numFmtId="0" fontId="37" fillId="0" borderId="0" xfId="0" applyFont="1" applyAlignment="1">
      <alignment horizontal="center" vertical="center" wrapText="1"/>
    </xf>
    <xf numFmtId="0" fontId="37" fillId="35" borderId="0" xfId="0" applyFont="1" applyFill="1" applyAlignment="1">
      <alignment horizontal="center" vertical="center" wrapText="1"/>
    </xf>
    <xf numFmtId="49" fontId="47" fillId="0" borderId="0" xfId="0" applyNumberFormat="1" applyFont="1" applyAlignment="1">
      <alignment horizontal="left" vertical="center"/>
    </xf>
    <xf numFmtId="49" fontId="47" fillId="0" borderId="0" xfId="0" applyNumberFormat="1" applyFont="1" applyAlignment="1">
      <alignment horizontal="left" vertical="center"/>
    </xf>
    <xf numFmtId="49" fontId="47" fillId="0" borderId="0" xfId="0" applyNumberFormat="1" applyFont="1" applyAlignment="1">
      <alignment horizontal="left" vertical="top"/>
    </xf>
    <xf numFmtId="49" fontId="23" fillId="35" borderId="12" xfId="0" applyNumberFormat="1" applyFont="1" applyFill="1" applyBorder="1" applyAlignment="1">
      <alignment horizontal="center" vertical="center"/>
    </xf>
    <xf numFmtId="0" fontId="23" fillId="0" borderId="12" xfId="0" applyFont="1" applyBorder="1" applyAlignment="1">
      <alignment horizontal="center" vertical="center" wrapText="1"/>
    </xf>
    <xf numFmtId="0" fontId="23" fillId="35" borderId="12" xfId="0" applyFont="1" applyFill="1" applyBorder="1" applyAlignment="1">
      <alignment horizontal="left" vertical="center" wrapText="1" indent="1"/>
    </xf>
    <xf numFmtId="49" fontId="23" fillId="0" borderId="12" xfId="0" applyNumberFormat="1" applyFont="1" applyBorder="1" applyAlignment="1">
      <alignment horizontal="center" vertical="center"/>
    </xf>
    <xf numFmtId="0" fontId="23" fillId="0" borderId="12" xfId="0" applyFont="1" applyBorder="1" applyAlignment="1">
      <alignment horizontal="left" vertical="center" wrapText="1" indent="1"/>
    </xf>
    <xf numFmtId="0" fontId="23" fillId="0" borderId="12" xfId="0" applyFont="1" applyBorder="1" applyAlignment="1">
      <alignment vertical="center" wrapText="1"/>
    </xf>
    <xf numFmtId="49" fontId="23" fillId="39" borderId="12" xfId="0" applyNumberFormat="1" applyFont="1" applyFill="1" applyBorder="1" applyAlignment="1" applyProtection="1">
      <alignment horizontal="left" vertical="center" wrapText="1"/>
      <protection locked="0"/>
    </xf>
    <xf numFmtId="0" fontId="23" fillId="35" borderId="12" xfId="0" applyFont="1" applyFill="1" applyBorder="1" applyAlignment="1">
      <alignment horizontal="left" vertical="center" wrapText="1"/>
    </xf>
    <xf numFmtId="0" fontId="48" fillId="35" borderId="12" xfId="0" applyFont="1" applyFill="1" applyBorder="1" applyAlignment="1">
      <alignment horizontal="center" vertical="center"/>
    </xf>
    <xf numFmtId="0" fontId="73" fillId="35" borderId="0" xfId="0" applyFont="1" applyFill="1" applyAlignment="1">
      <alignment vertical="center" wrapText="1"/>
    </xf>
    <xf numFmtId="0" fontId="68" fillId="35" borderId="0" xfId="0" applyFont="1" applyFill="1"/>
    <xf numFmtId="49" fontId="23" fillId="36" borderId="12" xfId="0" applyNumberFormat="1" applyFont="1" applyFill="1" applyBorder="1" applyAlignment="1" applyProtection="1">
      <alignment horizontal="left" vertical="center" wrapText="1"/>
      <protection locked="0"/>
    </xf>
    <xf numFmtId="0" fontId="85" fillId="35" borderId="0" xfId="0" applyFont="1" applyFill="1"/>
    <xf numFmtId="0" fontId="69" fillId="35" borderId="0" xfId="0" applyFont="1" applyFill="1"/>
    <xf numFmtId="14" fontId="23" fillId="39" borderId="23" xfId="0" applyNumberFormat="1" applyFont="1" applyFill="1" applyBorder="1" applyAlignment="1" applyProtection="1">
      <alignment horizontal="left" vertical="center" wrapText="1" indent="1"/>
      <protection locked="0"/>
    </xf>
    <xf numFmtId="0" fontId="113" fillId="0" borderId="0" xfId="0" applyFont="1" applyAlignment="1">
      <alignment vertical="center"/>
    </xf>
    <xf numFmtId="0" fontId="113" fillId="0" borderId="0" xfId="0" applyFont="1" applyAlignment="1">
      <alignment vertical="center" wrapText="1"/>
    </xf>
    <xf numFmtId="180" fontId="23" fillId="0" borderId="23" xfId="0" applyNumberFormat="1" applyFont="1" applyBorder="1" applyAlignment="1">
      <alignment horizontal="center" vertical="center" wrapText="1"/>
    </xf>
    <xf numFmtId="14" fontId="23" fillId="39" borderId="12" xfId="0" applyNumberFormat="1" applyFont="1" applyFill="1" applyBorder="1" applyAlignment="1" applyProtection="1">
      <alignment horizontal="left" vertical="center" wrapText="1" indent="1"/>
      <protection locked="0"/>
    </xf>
    <xf numFmtId="0" fontId="23" fillId="34" borderId="23" xfId="0" applyFont="1" applyFill="1" applyBorder="1" applyAlignment="1">
      <alignment horizontal="left" vertical="center" wrapText="1" indent="1"/>
    </xf>
    <xf numFmtId="180" fontId="23" fillId="0" borderId="17" xfId="0" applyNumberFormat="1" applyFont="1" applyBorder="1" applyAlignment="1">
      <alignment horizontal="center" vertical="center" wrapText="1"/>
    </xf>
    <xf numFmtId="49" fontId="50" fillId="37" borderId="30" xfId="0" applyNumberFormat="1" applyFont="1" applyFill="1" applyBorder="1" applyAlignment="1">
      <alignment horizontal="right" vertical="center" wrapText="1"/>
    </xf>
    <xf numFmtId="49" fontId="0" fillId="37" borderId="27" xfId="0" applyNumberFormat="1" applyFont="1" applyFill="1" applyBorder="1" applyAlignment="1">
      <alignment horizontal="right" vertical="center" wrapText="1"/>
    </xf>
    <xf numFmtId="49" fontId="54" fillId="37" borderId="27" xfId="0" applyNumberFormat="1" applyFont="1" applyFill="1" applyBorder="1" applyAlignment="1">
      <alignment horizontal="left" vertical="center" wrapText="1"/>
    </xf>
    <xf numFmtId="0" fontId="48" fillId="0" borderId="27" xfId="0" applyFont="1" applyBorder="1" applyAlignment="1">
      <alignment horizontal="center" vertical="center" wrapText="1"/>
    </xf>
    <xf numFmtId="0" fontId="48" fillId="0" borderId="0" xfId="0" applyFont="1" applyAlignment="1">
      <alignment horizontal="center" vertical="center"/>
    </xf>
    <xf numFmtId="0" fontId="42" fillId="0" borderId="0" xfId="0" applyFont="1" applyAlignment="1">
      <alignment horizontal="center" vertical="center" wrapText="1"/>
    </xf>
    <xf numFmtId="14" fontId="23" fillId="40" borderId="12" xfId="0" applyNumberFormat="1" applyFont="1" applyFill="1" applyBorder="1" applyAlignment="1">
      <alignment horizontal="left" vertical="center" wrapText="1"/>
    </xf>
    <xf numFmtId="180" fontId="23" fillId="0" borderId="37" xfId="0" applyNumberFormat="1" applyFont="1" applyBorder="1" applyAlignment="1">
      <alignment horizontal="center" vertical="center" wrapText="1"/>
    </xf>
    <xf numFmtId="0" fontId="23" fillId="39" borderId="12" xfId="0" applyFont="1" applyFill="1" applyBorder="1" applyAlignment="1" applyProtection="1">
      <alignment horizontal="center" vertical="center" wrapText="1"/>
      <protection locked="0"/>
    </xf>
    <xf numFmtId="0" fontId="47" fillId="35" borderId="0" xfId="0" applyFont="1" applyFill="1"/>
    <xf numFmtId="0" fontId="23" fillId="0" borderId="15" xfId="0" applyFont="1" applyBorder="1" applyAlignment="1">
      <alignment horizontal="right" vertical="center" wrapText="1" indent="1"/>
    </xf>
    <xf numFmtId="0" fontId="23" fillId="34" borderId="14" xfId="0" applyFont="1" applyFill="1" applyBorder="1" applyAlignment="1">
      <alignment horizontal="left" vertical="top" wrapText="1"/>
    </xf>
    <xf numFmtId="49" fontId="48" fillId="0" borderId="0" xfId="0" applyNumberFormat="1" applyFont="1" applyAlignment="1">
      <alignment horizontal="center" vertical="center"/>
    </xf>
    <xf numFmtId="49" fontId="68" fillId="0" borderId="0" xfId="0" applyNumberFormat="1" applyFont="1" applyAlignment="1">
      <alignment vertical="top"/>
    </xf>
    <xf numFmtId="0" fontId="42" fillId="0" borderId="0" xfId="0" applyFont="1" applyAlignment="1">
      <alignment vertical="center"/>
    </xf>
    <xf numFmtId="0" fontId="23" fillId="0" borderId="36" xfId="0" applyFont="1" applyBorder="1" applyAlignment="1">
      <alignment horizontal="center" vertical="center" wrapText="1"/>
    </xf>
    <xf numFmtId="0" fontId="23" fillId="0" borderId="37" xfId="0" applyFont="1" applyBorder="1" applyAlignment="1">
      <alignment horizontal="center" vertical="center" wrapText="1"/>
    </xf>
    <xf numFmtId="0" fontId="23" fillId="0" borderId="17" xfId="0" applyFont="1" applyBorder="1" applyAlignment="1">
      <alignment horizontal="center" vertical="center" wrapText="1"/>
    </xf>
    <xf numFmtId="0" fontId="23" fillId="0" borderId="22" xfId="0" applyFont="1" applyBorder="1" applyAlignment="1">
      <alignment horizontal="center" vertical="center" wrapText="1"/>
    </xf>
    <xf numFmtId="49" fontId="23" fillId="0" borderId="36" xfId="0" applyNumberFormat="1" applyFont="1" applyBorder="1" applyAlignment="1">
      <alignment horizontal="left" vertical="center" wrapText="1"/>
    </xf>
    <xf numFmtId="49" fontId="23" fillId="0" borderId="36" xfId="0" applyNumberFormat="1" applyFont="1" applyBorder="1" applyAlignment="1">
      <alignment horizontal="center" vertical="center" wrapText="1"/>
    </xf>
    <xf numFmtId="49" fontId="23" fillId="0" borderId="17" xfId="0" applyNumberFormat="1" applyFont="1" applyBorder="1" applyAlignment="1">
      <alignment horizontal="center" vertical="center" wrapText="1"/>
    </xf>
    <xf numFmtId="0" fontId="23" fillId="0" borderId="36" xfId="0" applyFont="1" applyBorder="1" applyAlignment="1">
      <alignment horizontal="left" vertical="center" wrapText="1"/>
    </xf>
    <xf numFmtId="49" fontId="23" fillId="0" borderId="36" xfId="0" applyNumberFormat="1" applyFont="1" applyBorder="1" applyAlignment="1">
      <alignment vertical="center" wrapText="1"/>
    </xf>
    <xf numFmtId="0" fontId="23" fillId="0" borderId="23" xfId="0" applyFont="1" applyBorder="1" applyAlignment="1">
      <alignment horizontal="left" vertical="center" wrapText="1"/>
    </xf>
    <xf numFmtId="0" fontId="40" fillId="0" borderId="23" xfId="0" applyFont="1" applyBorder="1" applyAlignment="1">
      <alignment horizontal="left" vertical="center"/>
    </xf>
    <xf numFmtId="0" fontId="40" fillId="37" borderId="14" xfId="0" applyFont="1" applyFill="1" applyBorder="1" applyAlignment="1">
      <alignment horizontal="left" vertical="center"/>
    </xf>
    <xf numFmtId="0" fontId="40" fillId="0" borderId="36" xfId="0" applyFont="1" applyBorder="1" applyAlignment="1">
      <alignment horizontal="left" vertical="center"/>
    </xf>
    <xf numFmtId="0" fontId="40" fillId="37" borderId="37" xfId="0" applyFont="1" applyFill="1" applyBorder="1" applyAlignment="1">
      <alignment horizontal="left" vertical="center"/>
    </xf>
    <xf numFmtId="49" fontId="68" fillId="37" borderId="14" xfId="0" applyNumberFormat="1" applyFont="1" applyFill="1" applyBorder="1" applyAlignment="1">
      <alignment vertical="top"/>
    </xf>
    <xf numFmtId="49" fontId="68" fillId="37" borderId="15" xfId="0" applyNumberFormat="1" applyFont="1" applyFill="1" applyBorder="1" applyAlignment="1">
      <alignment vertical="top"/>
    </xf>
    <xf numFmtId="49" fontId="23" fillId="40" borderId="17" xfId="0" applyNumberFormat="1" applyFont="1" applyFill="1" applyBorder="1" applyAlignment="1">
      <alignment vertical="center" wrapText="1"/>
    </xf>
    <xf numFmtId="0" fontId="23" fillId="0" borderId="37" xfId="0" applyFont="1" applyBorder="1" applyAlignment="1">
      <alignment horizontal="center" vertical="center" wrapText="1"/>
    </xf>
    <xf numFmtId="49" fontId="0" fillId="0" borderId="0" xfId="0" applyNumberFormat="1" applyFont="1" applyAlignment="1">
      <alignment vertical="top"/>
    </xf>
    <xf numFmtId="49" fontId="47" fillId="0" borderId="0" xfId="0" applyNumberFormat="1" applyFont="1" applyAlignment="1">
      <alignment horizontal="center" vertical="center"/>
    </xf>
    <xf numFmtId="0" fontId="114" fillId="0" borderId="0" xfId="0" applyFont="1" applyAlignment="1">
      <alignment vertical="center" wrapText="1"/>
    </xf>
    <xf numFmtId="0" fontId="115" fillId="0" borderId="0" xfId="0" applyFont="1" applyAlignment="1">
      <alignment vertical="center" wrapText="1"/>
    </xf>
    <xf numFmtId="0" fontId="23" fillId="0" borderId="17" xfId="0" applyFont="1" applyBorder="1" applyAlignment="1">
      <alignment horizontal="center" vertical="center" wrapText="1"/>
    </xf>
    <xf numFmtId="49" fontId="23" fillId="0" borderId="17" xfId="0" applyNumberFormat="1" applyFont="1" applyBorder="1" applyAlignment="1">
      <alignment horizontal="left" vertical="center" wrapText="1"/>
    </xf>
    <xf numFmtId="49" fontId="23" fillId="0" borderId="17" xfId="0" applyNumberFormat="1" applyFont="1" applyBorder="1" applyAlignment="1">
      <alignment horizontal="left" vertical="center" wrapText="1"/>
    </xf>
    <xf numFmtId="49" fontId="23" fillId="0" borderId="17" xfId="0" applyNumberFormat="1" applyFont="1" applyBorder="1" applyAlignment="1">
      <alignment horizontal="center" vertical="center" wrapText="1"/>
    </xf>
    <xf numFmtId="0" fontId="23" fillId="0" borderId="17" xfId="0" applyFont="1" applyBorder="1" applyAlignment="1">
      <alignment horizontal="left" vertical="center" wrapText="1"/>
    </xf>
    <xf numFmtId="0" fontId="23" fillId="0" borderId="0" xfId="0" applyFont="1" applyAlignment="1">
      <alignment horizontal="left" vertical="center" wrapText="1"/>
    </xf>
    <xf numFmtId="49" fontId="23" fillId="0" borderId="19" xfId="0" applyNumberFormat="1" applyFont="1" applyBorder="1" applyAlignment="1">
      <alignment vertical="center" wrapText="1"/>
    </xf>
    <xf numFmtId="49" fontId="23" fillId="0" borderId="19" xfId="0" applyNumberFormat="1" applyFont="1" applyBorder="1" applyAlignment="1">
      <alignment horizontal="left" vertical="center" wrapText="1"/>
    </xf>
    <xf numFmtId="49" fontId="37" fillId="0" borderId="19" xfId="0" applyNumberFormat="1" applyFont="1" applyBorder="1" applyAlignment="1">
      <alignment vertical="center" wrapText="1"/>
    </xf>
    <xf numFmtId="49" fontId="23" fillId="0" borderId="19" xfId="0" applyNumberFormat="1" applyFont="1" applyBorder="1" applyAlignment="1">
      <alignment horizontal="center" vertical="center" wrapText="1"/>
    </xf>
    <xf numFmtId="0" fontId="23" fillId="0" borderId="19" xfId="0" applyFont="1" applyBorder="1" applyAlignment="1">
      <alignment horizontal="left" vertical="center" wrapText="1"/>
    </xf>
    <xf numFmtId="49" fontId="23" fillId="0" borderId="19" xfId="0" applyNumberFormat="1" applyFont="1" applyBorder="1" applyAlignment="1">
      <alignment vertical="center" wrapText="1"/>
    </xf>
    <xf numFmtId="49" fontId="23" fillId="0" borderId="0" xfId="0" applyNumberFormat="1" applyFont="1" applyAlignment="1">
      <alignment vertical="center" wrapText="1"/>
    </xf>
    <xf numFmtId="49" fontId="23" fillId="0" borderId="0" xfId="0" applyNumberFormat="1" applyFont="1" applyAlignment="1">
      <alignment horizontal="left" vertical="center" wrapText="1"/>
    </xf>
    <xf numFmtId="49" fontId="37" fillId="0" borderId="0" xfId="0" applyNumberFormat="1" applyFont="1" applyAlignment="1">
      <alignment vertical="center" wrapText="1"/>
    </xf>
    <xf numFmtId="49" fontId="23" fillId="0" borderId="0" xfId="0" applyNumberFormat="1" applyFont="1" applyAlignment="1">
      <alignment horizontal="center" vertical="center" wrapText="1"/>
    </xf>
    <xf numFmtId="0" fontId="23" fillId="0" borderId="0" xfId="0" applyFont="1" applyAlignment="1">
      <alignment horizontal="left" vertical="center" wrapText="1"/>
    </xf>
    <xf numFmtId="0" fontId="40" fillId="0" borderId="0" xfId="0" applyFont="1" applyAlignment="1">
      <alignment horizontal="left" vertical="center"/>
    </xf>
    <xf numFmtId="49" fontId="37" fillId="0" borderId="0" xfId="0" applyNumberFormat="1" applyFont="1" applyAlignment="1">
      <alignment horizontal="center" vertical="center" wrapText="1"/>
    </xf>
    <xf numFmtId="0" fontId="40" fillId="0" borderId="0" xfId="0" applyFont="1" applyAlignment="1">
      <alignment vertical="center"/>
    </xf>
    <xf numFmtId="49" fontId="68" fillId="0" borderId="30" xfId="0" applyNumberFormat="1" applyFont="1" applyBorder="1" applyAlignment="1">
      <alignment vertical="top"/>
    </xf>
    <xf numFmtId="49" fontId="23" fillId="0" borderId="37" xfId="0" applyNumberFormat="1" applyFont="1" applyBorder="1" applyAlignment="1">
      <alignment vertical="center" wrapText="1"/>
    </xf>
    <xf numFmtId="49" fontId="23" fillId="0" borderId="22" xfId="0" applyNumberFormat="1" applyFont="1" applyBorder="1" applyAlignment="1">
      <alignment vertical="center" wrapText="1"/>
    </xf>
    <xf numFmtId="0" fontId="40" fillId="0" borderId="22" xfId="0" applyFont="1" applyBorder="1" applyAlignment="1">
      <alignment horizontal="left" vertical="center"/>
    </xf>
    <xf numFmtId="49" fontId="68" fillId="0" borderId="27" xfId="0" applyNumberFormat="1" applyFont="1" applyBorder="1" applyAlignment="1">
      <alignment vertical="top"/>
    </xf>
    <xf numFmtId="49" fontId="23" fillId="0" borderId="36" xfId="0" applyNumberFormat="1" applyFont="1" applyBorder="1" applyAlignment="1">
      <alignment horizontal="center" vertical="center" wrapText="1"/>
    </xf>
    <xf numFmtId="0" fontId="40" fillId="37" borderId="37" xfId="0" applyFont="1" applyFill="1" applyBorder="1" applyAlignment="1">
      <alignment vertical="center"/>
    </xf>
    <xf numFmtId="49" fontId="0" fillId="0" borderId="12" xfId="0" applyNumberFormat="1" applyFont="1" applyBorder="1" applyAlignment="1">
      <alignment horizontal="left" vertical="center" wrapText="1" indent="1"/>
    </xf>
    <xf numFmtId="49" fontId="0" fillId="0" borderId="0" xfId="0" applyNumberFormat="1" applyFont="1" applyAlignment="1">
      <alignment vertical="top"/>
    </xf>
    <xf numFmtId="0" fontId="23" fillId="0" borderId="0" xfId="0" applyFont="1" applyAlignment="1">
      <alignment vertical="center" wrapText="1"/>
    </xf>
    <xf numFmtId="0" fontId="32" fillId="0" borderId="0" xfId="0" applyFont="1" applyAlignment="1">
      <alignment vertical="center" wrapText="1"/>
    </xf>
    <xf numFmtId="0" fontId="42" fillId="0" borderId="0" xfId="0" applyFont="1" applyAlignment="1">
      <alignment vertical="center" wrapText="1"/>
    </xf>
    <xf numFmtId="0" fontId="23" fillId="0" borderId="0" xfId="0" applyFont="1" applyAlignment="1">
      <alignment horizontal="left" vertical="center" wrapText="1"/>
    </xf>
    <xf numFmtId="0" fontId="59" fillId="0" borderId="0" xfId="0" applyFont="1" applyAlignment="1">
      <alignment vertical="center" wrapText="1"/>
    </xf>
    <xf numFmtId="0" fontId="61" fillId="0" borderId="0" xfId="0" applyFont="1" applyAlignment="1">
      <alignment vertical="center" wrapText="1"/>
    </xf>
    <xf numFmtId="0" fontId="89" fillId="0" borderId="0" xfId="0" applyFont="1" applyAlignment="1">
      <alignment vertical="center" wrapText="1"/>
    </xf>
    <xf numFmtId="0" fontId="48" fillId="0" borderId="0" xfId="0" applyFont="1" applyAlignment="1">
      <alignment vertical="center" wrapText="1"/>
    </xf>
    <xf numFmtId="0" fontId="65" fillId="0" borderId="0" xfId="0" applyFont="1" applyAlignment="1">
      <alignment vertical="center" wrapText="1"/>
    </xf>
    <xf numFmtId="49" fontId="23" fillId="0" borderId="12" xfId="0" applyNumberFormat="1" applyFont="1" applyBorder="1" applyAlignment="1">
      <alignment horizontal="center" vertical="center" wrapText="1"/>
    </xf>
    <xf numFmtId="0" fontId="37" fillId="35" borderId="12" xfId="0" applyFont="1" applyFill="1" applyBorder="1" applyAlignment="1">
      <alignment horizontal="center" vertical="center" wrapText="1"/>
    </xf>
    <xf numFmtId="0" fontId="23" fillId="0" borderId="0" xfId="0" applyFont="1" applyAlignment="1">
      <alignment vertical="center" wrapText="1"/>
    </xf>
    <xf numFmtId="0" fontId="37" fillId="35" borderId="0" xfId="0" applyFont="1" applyFill="1" applyAlignment="1">
      <alignment horizontal="center" vertical="center" wrapText="1"/>
    </xf>
    <xf numFmtId="49" fontId="23" fillId="0" borderId="12" xfId="0" applyNumberFormat="1" applyFont="1" applyBorder="1" applyAlignment="1">
      <alignment horizontal="center" vertical="center" wrapText="1"/>
    </xf>
    <xf numFmtId="3" fontId="23" fillId="39" borderId="12" xfId="0" applyNumberFormat="1" applyFont="1" applyFill="1" applyBorder="1" applyAlignment="1" applyProtection="1">
      <alignment horizontal="right" vertical="center" wrapText="1"/>
      <protection locked="0"/>
    </xf>
    <xf numFmtId="0" fontId="48" fillId="0" borderId="0" xfId="0" applyFont="1" applyAlignment="1">
      <alignment vertical="center" wrapText="1"/>
    </xf>
    <xf numFmtId="49" fontId="23" fillId="39" borderId="12" xfId="0" applyNumberFormat="1" applyFont="1" applyFill="1" applyBorder="1" applyAlignment="1" applyProtection="1">
      <alignment horizontal="left" vertical="center" wrapText="1"/>
      <protection locked="0"/>
    </xf>
    <xf numFmtId="0" fontId="48" fillId="0" borderId="0" xfId="0" applyFont="1" applyAlignment="1">
      <alignment vertical="center"/>
    </xf>
    <xf numFmtId="0" fontId="37" fillId="35" borderId="12" xfId="0" applyFont="1" applyFill="1" applyBorder="1" applyAlignment="1">
      <alignment horizontal="center" vertical="center" wrapText="1"/>
    </xf>
    <xf numFmtId="0" fontId="47" fillId="0" borderId="22" xfId="0" applyFont="1" applyBorder="1" applyAlignment="1">
      <alignment vertical="center"/>
    </xf>
    <xf numFmtId="0" fontId="47" fillId="0" borderId="22" xfId="0" applyFont="1" applyBorder="1" applyAlignment="1">
      <alignment vertical="center"/>
    </xf>
    <xf numFmtId="0" fontId="23" fillId="0" borderId="17" xfId="0" applyFont="1" applyBorder="1" applyAlignment="1">
      <alignment horizontal="left" vertical="center" wrapText="1" indent="1"/>
    </xf>
    <xf numFmtId="49" fontId="23" fillId="0" borderId="57" xfId="0" applyNumberFormat="1" applyFont="1" applyBorder="1" applyAlignment="1">
      <alignment horizontal="center" vertical="center" wrapText="1"/>
    </xf>
    <xf numFmtId="49" fontId="23" fillId="0" borderId="28" xfId="0" applyNumberFormat="1" applyFont="1" applyBorder="1" applyAlignment="1">
      <alignment horizontal="center" vertical="center" wrapText="1"/>
    </xf>
    <xf numFmtId="0" fontId="23" fillId="0" borderId="0" xfId="0" applyFont="1" applyAlignment="1">
      <alignment vertical="center" wrapText="1"/>
    </xf>
    <xf numFmtId="0" fontId="32" fillId="0" borderId="0" xfId="0" applyFont="1" applyAlignment="1">
      <alignment vertical="center" wrapText="1"/>
    </xf>
    <xf numFmtId="0" fontId="37" fillId="0" borderId="0" xfId="0" applyFont="1" applyAlignment="1">
      <alignment horizontal="center" vertical="center" wrapText="1"/>
    </xf>
    <xf numFmtId="0" fontId="23" fillId="0" borderId="12" xfId="0" applyFont="1" applyBorder="1" applyAlignment="1">
      <alignment horizontal="center" vertical="center" wrapText="1"/>
    </xf>
    <xf numFmtId="0" fontId="23" fillId="0" borderId="0" xfId="0" applyFont="1" applyAlignment="1">
      <alignment vertical="center" wrapText="1"/>
    </xf>
    <xf numFmtId="0" fontId="48" fillId="0" borderId="0" xfId="0" applyFont="1" applyAlignment="1">
      <alignment vertical="center" wrapText="1"/>
    </xf>
    <xf numFmtId="0" fontId="23" fillId="0" borderId="12" xfId="0" applyFont="1" applyBorder="1" applyAlignment="1">
      <alignment horizontal="center" vertical="center" wrapText="1"/>
    </xf>
    <xf numFmtId="49" fontId="23" fillId="0" borderId="0" xfId="0" applyNumberFormat="1" applyFont="1" applyAlignment="1">
      <alignment horizontal="center" vertical="center" wrapText="1"/>
    </xf>
    <xf numFmtId="0" fontId="23" fillId="0" borderId="12" xfId="0" applyFont="1" applyBorder="1" applyAlignment="1">
      <alignment horizontal="center" vertical="center" wrapText="1"/>
    </xf>
    <xf numFmtId="0" fontId="55" fillId="0" borderId="0" xfId="0" applyFont="1" applyAlignment="1">
      <alignment vertical="center"/>
    </xf>
    <xf numFmtId="0" fontId="73" fillId="0" borderId="0" xfId="0" applyFont="1" applyAlignment="1">
      <alignment vertical="center" wrapText="1"/>
    </xf>
    <xf numFmtId="0" fontId="48" fillId="0" borderId="0" xfId="0" applyFont="1" applyAlignment="1">
      <alignment vertical="center" wrapText="1"/>
    </xf>
    <xf numFmtId="0" fontId="23" fillId="0" borderId="13" xfId="0" applyFont="1" applyBorder="1" applyAlignment="1">
      <alignment horizontal="center" vertical="center" wrapText="1"/>
    </xf>
    <xf numFmtId="0" fontId="23" fillId="0" borderId="17" xfId="0" applyFont="1" applyBorder="1" applyAlignment="1">
      <alignment horizontal="center" vertical="center" wrapText="1"/>
    </xf>
    <xf numFmtId="0" fontId="23" fillId="0" borderId="15" xfId="0" applyFont="1" applyBorder="1" applyAlignment="1">
      <alignment horizontal="right" vertical="center" wrapText="1" indent="1"/>
    </xf>
    <xf numFmtId="0" fontId="23" fillId="0" borderId="12" xfId="0" applyFont="1" applyBorder="1" applyAlignment="1">
      <alignment horizontal="center" vertical="center" wrapText="1"/>
    </xf>
    <xf numFmtId="0" fontId="23" fillId="0" borderId="0" xfId="0" applyFont="1" applyAlignment="1">
      <alignment horizontal="left" vertical="top" wrapText="1"/>
    </xf>
    <xf numFmtId="0" fontId="23" fillId="0" borderId="12" xfId="0" applyFont="1" applyBorder="1" applyAlignment="1">
      <alignment horizontal="center" vertical="center" wrapText="1"/>
    </xf>
    <xf numFmtId="49" fontId="23" fillId="40" borderId="12" xfId="0" applyNumberFormat="1" applyFont="1" applyFill="1" applyBorder="1" applyAlignment="1">
      <alignment horizontal="left" vertical="center" wrapText="1"/>
    </xf>
    <xf numFmtId="0" fontId="23" fillId="0" borderId="12" xfId="0" applyFont="1" applyBorder="1" applyAlignment="1">
      <alignment horizontal="left" vertical="center" wrapText="1" indent="2"/>
    </xf>
    <xf numFmtId="0" fontId="48" fillId="0" borderId="17" xfId="0" applyFont="1" applyBorder="1" applyAlignment="1">
      <alignment horizontal="center" vertical="center" wrapText="1"/>
    </xf>
    <xf numFmtId="0" fontId="23" fillId="34" borderId="14" xfId="0" applyFont="1" applyFill="1" applyBorder="1" applyAlignment="1">
      <alignment horizontal="left" vertical="top" wrapText="1"/>
    </xf>
    <xf numFmtId="0" fontId="23" fillId="0" borderId="12" xfId="0" applyFont="1" applyBorder="1" applyAlignment="1">
      <alignment horizontal="center" vertical="center" wrapText="1"/>
    </xf>
    <xf numFmtId="0" fontId="23" fillId="0" borderId="13" xfId="0" applyFont="1" applyBorder="1" applyAlignment="1">
      <alignment horizontal="center" vertical="center" wrapText="1"/>
    </xf>
    <xf numFmtId="0" fontId="23" fillId="0" borderId="17" xfId="0" applyFont="1" applyBorder="1" applyAlignment="1">
      <alignment horizontal="center" vertical="center" wrapText="1"/>
    </xf>
    <xf numFmtId="0" fontId="23" fillId="0" borderId="15" xfId="0" applyFont="1" applyBorder="1" applyAlignment="1">
      <alignment horizontal="right" vertical="center" wrapText="1" indent="1"/>
    </xf>
    <xf numFmtId="0" fontId="23" fillId="0" borderId="12" xfId="0" applyFont="1" applyBorder="1" applyAlignment="1">
      <alignment horizontal="center" vertical="center" wrapText="1"/>
    </xf>
    <xf numFmtId="0" fontId="23" fillId="0" borderId="12" xfId="0" applyFont="1" applyBorder="1" applyAlignment="1">
      <alignment horizontal="center" vertical="center" wrapText="1"/>
    </xf>
    <xf numFmtId="0" fontId="23" fillId="34" borderId="14" xfId="0" applyFont="1" applyFill="1" applyBorder="1" applyAlignment="1">
      <alignment horizontal="left" vertical="top" wrapText="1"/>
    </xf>
    <xf numFmtId="0" fontId="23" fillId="0" borderId="12" xfId="0" applyFont="1" applyBorder="1" applyAlignment="1">
      <alignment horizontal="center" vertical="center" wrapText="1"/>
    </xf>
    <xf numFmtId="49" fontId="0" fillId="0" borderId="12" xfId="0" applyNumberFormat="1" applyFont="1" applyBorder="1" applyAlignment="1">
      <alignment vertical="center" wrapText="1"/>
    </xf>
    <xf numFmtId="0" fontId="48" fillId="0" borderId="14" xfId="0" applyFont="1" applyBorder="1" applyAlignment="1">
      <alignment vertical="center" wrapText="1"/>
    </xf>
    <xf numFmtId="0" fontId="48" fillId="0" borderId="14" xfId="0" applyFont="1" applyBorder="1" applyAlignment="1">
      <alignment horizontal="left" vertical="top" wrapText="1"/>
    </xf>
    <xf numFmtId="49" fontId="23" fillId="0" borderId="58" xfId="0" applyNumberFormat="1" applyFont="1" applyBorder="1" applyAlignment="1">
      <alignment horizontal="center" vertical="center" wrapText="1"/>
    </xf>
    <xf numFmtId="0" fontId="23" fillId="0" borderId="17" xfId="0" applyFont="1" applyBorder="1" applyAlignment="1">
      <alignment horizontal="left" vertical="center" wrapText="1"/>
    </xf>
    <xf numFmtId="49" fontId="40" fillId="37" borderId="19" xfId="0" applyNumberFormat="1" applyFont="1" applyFill="1" applyBorder="1" applyAlignment="1">
      <alignment horizontal="left" vertical="center" indent="2"/>
    </xf>
    <xf numFmtId="49" fontId="0" fillId="0" borderId="12" xfId="0" applyNumberFormat="1" applyFont="1" applyBorder="1" applyAlignment="1">
      <alignment horizontal="left" vertical="center" wrapText="1" indent="1"/>
    </xf>
    <xf numFmtId="49" fontId="0" fillId="0" borderId="12" xfId="0" applyNumberFormat="1" applyFont="1" applyBorder="1" applyAlignment="1">
      <alignment horizontal="left" vertical="center" wrapText="1" indent="2"/>
    </xf>
    <xf numFmtId="49" fontId="23" fillId="0" borderId="0" xfId="0" applyNumberFormat="1" applyFont="1" applyAlignment="1">
      <alignment vertical="center" wrapText="1"/>
    </xf>
    <xf numFmtId="0" fontId="0" fillId="0" borderId="12" xfId="0" applyFont="1" applyBorder="1" applyAlignment="1">
      <alignment horizontal="center" vertical="center" wrapText="1"/>
    </xf>
    <xf numFmtId="49" fontId="23" fillId="40" borderId="12" xfId="0" applyNumberFormat="1" applyFont="1" applyFill="1" applyBorder="1" applyAlignment="1">
      <alignment horizontal="left" vertical="center" wrapText="1" indent="1"/>
    </xf>
    <xf numFmtId="0" fontId="0" fillId="0" borderId="12" xfId="0" applyFont="1" applyBorder="1" applyAlignment="1">
      <alignment horizontal="left" vertical="center" wrapText="1" indent="1"/>
    </xf>
    <xf numFmtId="49" fontId="0" fillId="35" borderId="12" xfId="0" applyNumberFormat="1" applyFont="1" applyFill="1" applyBorder="1" applyAlignment="1">
      <alignment horizontal="center" vertical="center" wrapText="1"/>
    </xf>
    <xf numFmtId="49" fontId="23" fillId="40" borderId="12" xfId="0" applyNumberFormat="1" applyFont="1" applyFill="1" applyBorder="1" applyAlignment="1">
      <alignment horizontal="left" vertical="center" wrapText="1"/>
    </xf>
    <xf numFmtId="49" fontId="23" fillId="0" borderId="59" xfId="0" applyNumberFormat="1" applyFont="1" applyBorder="1" applyAlignment="1">
      <alignment horizontal="center" vertical="center" wrapText="1"/>
    </xf>
    <xf numFmtId="4" fontId="23" fillId="39" borderId="17" xfId="0" applyNumberFormat="1" applyFont="1" applyFill="1" applyBorder="1" applyAlignment="1" applyProtection="1">
      <alignment horizontal="right" vertical="center" wrapText="1"/>
      <protection locked="0"/>
    </xf>
    <xf numFmtId="49" fontId="40" fillId="0" borderId="19" xfId="0" applyNumberFormat="1" applyFont="1" applyBorder="1" applyAlignment="1">
      <alignment horizontal="left" vertical="center"/>
    </xf>
    <xf numFmtId="49" fontId="40" fillId="0" borderId="19" xfId="0" applyNumberFormat="1" applyFont="1" applyBorder="1" applyAlignment="1">
      <alignment horizontal="left" vertical="center" indent="2"/>
    </xf>
    <xf numFmtId="49" fontId="44" fillId="0" borderId="19" xfId="0" applyNumberFormat="1" applyFont="1" applyBorder="1" applyAlignment="1">
      <alignment horizontal="center" vertical="top"/>
    </xf>
    <xf numFmtId="0" fontId="23" fillId="0" borderId="19" xfId="0" applyFont="1" applyBorder="1" applyAlignment="1">
      <alignment horizontal="left" vertical="top" wrapText="1"/>
    </xf>
    <xf numFmtId="0" fontId="23" fillId="0" borderId="0" xfId="0" applyFont="1" applyAlignment="1">
      <alignment horizontal="right" vertical="top" wrapText="1"/>
    </xf>
    <xf numFmtId="49" fontId="0" fillId="39" borderId="12" xfId="0" applyNumberFormat="1" applyFont="1" applyFill="1" applyBorder="1" applyAlignment="1" applyProtection="1">
      <alignment horizontal="left" vertical="center" wrapText="1" indent="1"/>
      <protection locked="0"/>
    </xf>
    <xf numFmtId="49" fontId="47" fillId="0" borderId="0" xfId="0" applyNumberFormat="1" applyFont="1" applyAlignment="1">
      <alignment vertical="top"/>
    </xf>
    <xf numFmtId="49" fontId="23" fillId="40" borderId="12" xfId="0" applyNumberFormat="1" applyFont="1" applyFill="1" applyBorder="1" applyAlignment="1">
      <alignment horizontal="left" vertical="center" wrapText="1"/>
    </xf>
    <xf numFmtId="49" fontId="23" fillId="40" borderId="14" xfId="0" applyNumberFormat="1" applyFont="1" applyFill="1" applyBorder="1" applyAlignment="1">
      <alignment horizontal="left" vertical="center" wrapText="1"/>
    </xf>
    <xf numFmtId="0" fontId="23" fillId="35" borderId="0" xfId="0" applyFont="1" applyFill="1"/>
    <xf numFmtId="0" fontId="23" fillId="0" borderId="0" xfId="0" applyFont="1" applyAlignment="1">
      <alignment vertical="top" wrapText="1"/>
    </xf>
    <xf numFmtId="0" fontId="37" fillId="35" borderId="0" xfId="0" applyFont="1" applyFill="1" applyAlignment="1">
      <alignment horizontal="center" vertical="center" wrapText="1"/>
    </xf>
    <xf numFmtId="0" fontId="0" fillId="35" borderId="23" xfId="0" applyFont="1" applyFill="1" applyBorder="1" applyAlignment="1">
      <alignment vertical="center" wrapText="1"/>
    </xf>
    <xf numFmtId="49" fontId="0" fillId="0" borderId="0" xfId="0" applyNumberFormat="1" applyFont="1" applyAlignment="1">
      <alignment vertical="top"/>
    </xf>
    <xf numFmtId="0" fontId="0" fillId="0" borderId="0" xfId="0" applyFont="1" applyAlignment="1">
      <alignment vertical="top"/>
    </xf>
    <xf numFmtId="49" fontId="32" fillId="47" borderId="0" xfId="0" applyNumberFormat="1" applyFont="1" applyFill="1" applyAlignment="1">
      <alignment horizontal="center" vertical="center"/>
    </xf>
    <xf numFmtId="0" fontId="0" fillId="48" borderId="0" xfId="0" applyFont="1" applyFill="1" applyAlignment="1">
      <alignment horizontal="left" vertical="center"/>
    </xf>
    <xf numFmtId="49" fontId="0" fillId="0" borderId="0" xfId="0" applyNumberFormat="1" applyFont="1" applyAlignment="1">
      <alignment vertical="center"/>
    </xf>
    <xf numFmtId="0" fontId="0" fillId="48" borderId="0" xfId="0" applyFont="1" applyFill="1" applyAlignment="1">
      <alignment horizontal="right" vertical="center"/>
    </xf>
    <xf numFmtId="0" fontId="55" fillId="48" borderId="0" xfId="0" applyFont="1" applyFill="1" applyAlignment="1">
      <alignment horizontal="left" vertical="center"/>
    </xf>
    <xf numFmtId="0" fontId="0" fillId="0" borderId="0" xfId="0" applyFont="1" applyAlignment="1">
      <alignment horizontal="right" vertical="top"/>
    </xf>
    <xf numFmtId="0" fontId="0" fillId="48" borderId="10" xfId="0" applyFont="1" applyFill="1" applyBorder="1" applyAlignment="1">
      <alignment horizontal="center"/>
    </xf>
    <xf numFmtId="0" fontId="0" fillId="0" borderId="10" xfId="0" applyFont="1" applyBorder="1" applyAlignment="1">
      <alignment horizontal="center"/>
    </xf>
    <xf numFmtId="0" fontId="116" fillId="0" borderId="0" xfId="0" applyFont="1" applyAlignment="1">
      <alignment wrapText="1"/>
    </xf>
    <xf numFmtId="49" fontId="67" fillId="0" borderId="0" xfId="0" applyNumberFormat="1" applyFont="1" applyAlignment="1">
      <alignment wrapText="1"/>
    </xf>
    <xf numFmtId="49" fontId="67" fillId="0" borderId="0" xfId="0" applyNumberFormat="1" applyFont="1" applyAlignment="1">
      <alignment vertical="center" wrapText="1"/>
    </xf>
    <xf numFmtId="49" fontId="117" fillId="0" borderId="0" xfId="0" applyNumberFormat="1" applyFont="1" applyAlignment="1">
      <alignment wrapText="1"/>
    </xf>
    <xf numFmtId="0" fontId="30" fillId="0" borderId="0" xfId="0" applyFont="1"/>
    <xf numFmtId="0" fontId="103" fillId="0" borderId="0" xfId="0" applyFont="1" applyAlignment="1">
      <alignment horizontal="left" vertical="center" wrapText="1"/>
    </xf>
    <xf numFmtId="49" fontId="118" fillId="0" borderId="0" xfId="0" applyNumberFormat="1" applyFont="1" applyAlignment="1">
      <alignment wrapText="1"/>
    </xf>
    <xf numFmtId="0" fontId="46" fillId="0" borderId="0" xfId="0" applyFont="1" applyAlignment="1">
      <alignment horizontal="left" vertical="top" wrapText="1"/>
    </xf>
    <xf numFmtId="49" fontId="23" fillId="0" borderId="0" xfId="0" applyNumberFormat="1" applyFont="1" applyAlignment="1">
      <alignment vertical="top" wrapText="1"/>
    </xf>
    <xf numFmtId="0" fontId="67" fillId="0" borderId="0" xfId="0" applyFont="1" applyAlignment="1">
      <alignment wrapText="1"/>
    </xf>
    <xf numFmtId="0" fontId="119" fillId="0" borderId="0" xfId="0" applyFont="1" applyAlignment="1">
      <alignment horizontal="left" vertical="center" wrapText="1"/>
    </xf>
    <xf numFmtId="0" fontId="120" fillId="0" borderId="0" xfId="0" applyFont="1" applyAlignment="1">
      <alignment vertical="center" wrapText="1"/>
    </xf>
    <xf numFmtId="0" fontId="67" fillId="0" borderId="38" xfId="0" applyFont="1" applyBorder="1" applyAlignment="1">
      <alignment wrapText="1"/>
    </xf>
    <xf numFmtId="0" fontId="67" fillId="0" borderId="0" xfId="0" applyFont="1"/>
    <xf numFmtId="0" fontId="119" fillId="0" borderId="0" xfId="0" applyFont="1"/>
    <xf numFmtId="0" fontId="121" fillId="0" borderId="0" xfId="0" applyFont="1" applyAlignment="1">
      <alignment wrapText="1"/>
    </xf>
    <xf numFmtId="0" fontId="0" fillId="36" borderId="60" xfId="0" applyFont="1" applyFill="1" applyBorder="1" applyAlignment="1">
      <alignment horizontal="center" vertical="center" wrapText="1"/>
    </xf>
    <xf numFmtId="0" fontId="0" fillId="53" borderId="60" xfId="0" applyFont="1" applyFill="1" applyBorder="1" applyAlignment="1">
      <alignment horizontal="center" vertical="center" wrapText="1"/>
    </xf>
    <xf numFmtId="0" fontId="0" fillId="34" borderId="60" xfId="0" applyFont="1" applyFill="1" applyBorder="1" applyAlignment="1">
      <alignment horizontal="center" vertical="center" wrapText="1"/>
    </xf>
    <xf numFmtId="0" fontId="0" fillId="39" borderId="60" xfId="0" applyFont="1" applyFill="1" applyBorder="1" applyAlignment="1">
      <alignment horizontal="center" vertical="center" wrapText="1"/>
    </xf>
    <xf numFmtId="0" fontId="119" fillId="0" borderId="38" xfId="0" applyFont="1" applyBorder="1" applyAlignment="1">
      <alignment horizontal="left" vertical="center" wrapText="1"/>
    </xf>
    <xf numFmtId="0" fontId="119" fillId="0" borderId="61" xfId="0" applyFont="1" applyBorder="1" applyAlignment="1">
      <alignment horizontal="left" vertical="center" wrapText="1"/>
    </xf>
    <xf numFmtId="0" fontId="121" fillId="0" borderId="0" xfId="0" applyFont="1"/>
    <xf numFmtId="0" fontId="121" fillId="0" borderId="38" xfId="0" applyFont="1" applyBorder="1" applyAlignment="1">
      <alignment wrapText="1"/>
    </xf>
    <xf numFmtId="0" fontId="67" fillId="0" borderId="62" xfId="0" applyFont="1" applyBorder="1" applyAlignment="1">
      <alignment wrapText="1"/>
    </xf>
    <xf numFmtId="0" fontId="67" fillId="0" borderId="39" xfId="0" applyFont="1" applyBorder="1" applyAlignment="1">
      <alignment wrapText="1"/>
    </xf>
    <xf numFmtId="0" fontId="67" fillId="0" borderId="39" xfId="0" applyFont="1" applyBorder="1" applyAlignment="1">
      <alignment vertical="center" wrapText="1"/>
    </xf>
    <xf numFmtId="0" fontId="117" fillId="0" borderId="0" xfId="0" applyFont="1"/>
    <xf numFmtId="0" fontId="36" fillId="0" borderId="24" xfId="0" applyFont="1" applyBorder="1" applyAlignment="1">
      <alignment horizontal="center" vertical="center" wrapText="1"/>
    </xf>
    <xf numFmtId="49" fontId="23" fillId="0" borderId="13" xfId="0" applyNumberFormat="1" applyFont="1" applyBorder="1" applyAlignment="1">
      <alignment horizontal="center" vertical="center" wrapText="1"/>
    </xf>
    <xf numFmtId="49" fontId="122" fillId="0" borderId="0" xfId="0" applyNumberFormat="1" applyFont="1" applyAlignment="1">
      <alignment horizontal="center" vertical="center" wrapText="1"/>
    </xf>
    <xf numFmtId="49" fontId="23" fillId="48" borderId="0" xfId="0" applyNumberFormat="1" applyFont="1" applyFill="1" applyAlignment="1">
      <alignment horizontal="center" vertical="center"/>
    </xf>
    <xf numFmtId="179" fontId="0" fillId="39" borderId="12" xfId="0" applyNumberFormat="1" applyFont="1" applyFill="1" applyBorder="1" applyAlignment="1" applyProtection="1">
      <alignment horizontal="left" vertical="center" wrapText="1" indent="1"/>
      <protection locked="0"/>
    </xf>
    <xf numFmtId="179" fontId="0" fillId="0" borderId="12" xfId="0" applyNumberFormat="1" applyFont="1" applyBorder="1" applyAlignment="1">
      <alignment horizontal="left" vertical="center" wrapText="1" indent="1"/>
    </xf>
    <xf numFmtId="179" fontId="0" fillId="39" borderId="12" xfId="0" applyNumberFormat="1" applyFont="1" applyFill="1" applyBorder="1" applyAlignment="1" applyProtection="1">
      <alignment horizontal="center" vertical="center" wrapText="1"/>
      <protection locked="0"/>
    </xf>
    <xf numFmtId="179" fontId="48" fillId="0" borderId="0" xfId="0" applyNumberFormat="1" applyFont="1" applyAlignment="1">
      <alignment horizontal="center" vertical="center" wrapText="1"/>
    </xf>
    <xf numFmtId="179" fontId="48" fillId="0" borderId="12" xfId="0" applyNumberFormat="1" applyFont="1" applyBorder="1" applyAlignment="1">
      <alignment horizontal="center" vertical="center" wrapText="1"/>
    </xf>
    <xf numFmtId="179" fontId="0" fillId="39" borderId="12" xfId="0" applyNumberFormat="1" applyFont="1" applyFill="1" applyBorder="1" applyAlignment="1" applyProtection="1">
      <alignment horizontal="left" vertical="center" wrapText="1"/>
      <protection locked="0"/>
    </xf>
    <xf numFmtId="179" fontId="0" fillId="36" borderId="12" xfId="0" applyNumberFormat="1" applyFont="1" applyFill="1" applyBorder="1" applyAlignment="1" applyProtection="1">
      <alignment horizontal="left" vertical="center" wrapText="1" indent="1"/>
      <protection locked="0"/>
    </xf>
    <xf numFmtId="179" fontId="0" fillId="39" borderId="13" xfId="0" applyNumberFormat="1" applyFont="1" applyFill="1" applyBorder="1" applyAlignment="1" applyProtection="1">
      <alignment horizontal="left" vertical="center" wrapText="1"/>
      <protection locked="0"/>
    </xf>
    <xf numFmtId="0" fontId="23" fillId="0" borderId="0" xfId="0" applyFont="1" applyAlignment="1">
      <alignment horizontal="left" vertical="top" indent="1"/>
    </xf>
    <xf numFmtId="0" fontId="23" fillId="34" borderId="30" xfId="0" applyFont="1" applyFill="1" applyBorder="1" applyAlignment="1">
      <alignment horizontal="center" vertical="top"/>
    </xf>
    <xf numFmtId="0" fontId="0" fillId="0" borderId="34" xfId="0" applyFont="1" applyBorder="1" applyAlignment="1">
      <alignment horizontal="center" vertical="center"/>
    </xf>
    <xf numFmtId="0" fontId="0" fillId="0" borderId="33" xfId="0" applyFont="1" applyBorder="1" applyAlignment="1">
      <alignment horizontal="center" vertical="center"/>
    </xf>
    <xf numFmtId="0" fontId="23" fillId="34" borderId="30" xfId="0" applyFont="1" applyFill="1" applyBorder="1" applyAlignment="1">
      <alignment horizontal="left" vertical="top"/>
    </xf>
    <xf numFmtId="0" fontId="23" fillId="0" borderId="12" xfId="0" applyFont="1" applyBorder="1" applyAlignment="1">
      <alignment horizontal="left" vertical="top"/>
    </xf>
    <xf numFmtId="49" fontId="23" fillId="0" borderId="0" xfId="0" applyNumberFormat="1" applyFont="1" applyAlignment="1">
      <alignment horizontal="left" vertical="top"/>
    </xf>
    <xf numFmtId="0" fontId="0" fillId="34" borderId="36" xfId="0" applyFont="1" applyFill="1" applyBorder="1" applyAlignment="1">
      <alignment horizontal="left" vertical="top" wrapText="1" indent="1"/>
    </xf>
    <xf numFmtId="49" fontId="23" fillId="40" borderId="36" xfId="0" applyNumberFormat="1" applyFont="1" applyFill="1" applyBorder="1" applyAlignment="1">
      <alignment horizontal="center" vertical="top" wrapText="1"/>
    </xf>
    <xf numFmtId="49" fontId="0" fillId="39" borderId="36" xfId="0" applyNumberFormat="1" applyFont="1" applyFill="1" applyBorder="1" applyAlignment="1" applyProtection="1">
      <alignment horizontal="center" vertical="top" wrapText="1"/>
      <protection locked="0"/>
    </xf>
    <xf numFmtId="49" fontId="0" fillId="36" borderId="36" xfId="0" applyNumberFormat="1" applyFont="1" applyFill="1" applyBorder="1" applyAlignment="1" applyProtection="1">
      <alignment horizontal="center" vertical="top" wrapText="1"/>
      <protection locked="0"/>
    </xf>
    <xf numFmtId="49" fontId="23" fillId="40" borderId="36" xfId="0" applyNumberFormat="1" applyFont="1" applyFill="1" applyBorder="1" applyAlignment="1">
      <alignment horizontal="left" vertical="top" wrapText="1"/>
    </xf>
    <xf numFmtId="49" fontId="23" fillId="39" borderId="36" xfId="0" applyNumberFormat="1" applyFont="1" applyFill="1" applyBorder="1" applyAlignment="1" applyProtection="1">
      <alignment horizontal="left" vertical="top" wrapText="1"/>
      <protection locked="0"/>
    </xf>
    <xf numFmtId="49" fontId="0" fillId="34" borderId="36" xfId="0" applyNumberFormat="1" applyFont="1" applyFill="1" applyBorder="1" applyAlignment="1">
      <alignment horizontal="center" vertical="top" wrapText="1"/>
    </xf>
    <xf numFmtId="0" fontId="23" fillId="34" borderId="36" xfId="0" applyFont="1" applyFill="1" applyBorder="1" applyAlignment="1">
      <alignment horizontal="center" vertical="top" wrapText="1"/>
    </xf>
    <xf numFmtId="0" fontId="23" fillId="36" borderId="36" xfId="0" applyFont="1" applyFill="1" applyBorder="1" applyAlignment="1" applyProtection="1">
      <alignment horizontal="left" vertical="top" wrapText="1"/>
      <protection locked="0"/>
    </xf>
    <xf numFmtId="0" fontId="40" fillId="0" borderId="36" xfId="0" applyFont="1" applyBorder="1" applyAlignment="1">
      <alignment horizontal="left" vertical="center"/>
    </xf>
    <xf numFmtId="0" fontId="40" fillId="36" borderId="36" xfId="0" applyFont="1" applyFill="1" applyBorder="1" applyAlignment="1" applyProtection="1">
      <alignment horizontal="left" vertical="center"/>
      <protection locked="0"/>
    </xf>
    <xf numFmtId="0" fontId="40" fillId="39" borderId="36" xfId="0" applyFont="1" applyFill="1" applyBorder="1" applyAlignment="1" applyProtection="1">
      <alignment horizontal="left" vertical="center"/>
      <protection locked="0"/>
    </xf>
    <xf numFmtId="14" fontId="23" fillId="40" borderId="36" xfId="0" applyNumberFormat="1" applyFont="1" applyFill="1" applyBorder="1" applyAlignment="1">
      <alignment horizontal="left" vertical="center" wrapText="1" indent="1"/>
    </xf>
    <xf numFmtId="49" fontId="23" fillId="40" borderId="0" xfId="0" applyNumberFormat="1" applyFont="1" applyFill="1" applyAlignment="1">
      <alignment horizontal="center" vertical="center" wrapText="1"/>
    </xf>
    <xf numFmtId="0" fontId="23" fillId="0" borderId="12" xfId="0" applyFont="1" applyBorder="1" applyAlignment="1">
      <alignment horizontal="center" vertical="center" wrapText="1"/>
    </xf>
    <xf numFmtId="0" fontId="0" fillId="35" borderId="12" xfId="0" applyFont="1" applyFill="1" applyBorder="1" applyAlignment="1">
      <alignment vertical="top" wrapText="1"/>
    </xf>
    <xf numFmtId="0" fontId="47" fillId="0" borderId="12" xfId="0" applyFont="1" applyBorder="1" applyAlignment="1">
      <alignment vertical="top" wrapText="1"/>
    </xf>
    <xf numFmtId="49" fontId="23" fillId="40" borderId="17" xfId="0" applyNumberFormat="1" applyFont="1" applyFill="1" applyBorder="1" applyAlignment="1">
      <alignment vertical="center" wrapText="1"/>
    </xf>
    <xf numFmtId="49" fontId="23" fillId="40" borderId="36" xfId="0" applyNumberFormat="1" applyFont="1" applyFill="1" applyBorder="1" applyAlignment="1">
      <alignment vertical="center" wrapText="1"/>
    </xf>
    <xf numFmtId="49" fontId="23" fillId="40" borderId="23" xfId="0" applyNumberFormat="1" applyFont="1" applyFill="1" applyBorder="1" applyAlignment="1">
      <alignment vertical="center" wrapText="1"/>
    </xf>
    <xf numFmtId="0" fontId="0" fillId="39" borderId="12" xfId="0" applyFont="1" applyFill="1" applyBorder="1" applyAlignment="1" applyProtection="1">
      <alignment horizontal="left" vertical="center" wrapText="1" indent="1"/>
      <protection locked="0"/>
    </xf>
    <xf numFmtId="0" fontId="0" fillId="0" borderId="13" xfId="0" applyFont="1" applyBorder="1" applyAlignment="1">
      <alignment horizontal="center" vertical="center" wrapText="1"/>
    </xf>
    <xf numFmtId="0" fontId="23" fillId="0" borderId="12" xfId="0" applyFont="1" applyBorder="1" applyAlignment="1">
      <alignment horizontal="left" vertical="center" wrapText="1"/>
    </xf>
    <xf numFmtId="0" fontId="0" fillId="0" borderId="12" xfId="0" applyFont="1" applyBorder="1" applyAlignment="1">
      <alignment horizontal="center" vertical="center" wrapText="1"/>
    </xf>
    <xf numFmtId="0" fontId="0" fillId="0" borderId="13" xfId="0" applyFont="1" applyBorder="1" applyAlignment="1">
      <alignment horizontal="center" vertical="center" wrapText="1"/>
    </xf>
    <xf numFmtId="49" fontId="23" fillId="0" borderId="0" xfId="0" applyNumberFormat="1" applyFont="1" applyAlignment="1">
      <alignment horizontal="left" vertical="center" indent="1"/>
    </xf>
    <xf numFmtId="179" fontId="0" fillId="39" borderId="14" xfId="0" applyNumberFormat="1" applyFont="1" applyFill="1" applyBorder="1" applyAlignment="1" applyProtection="1">
      <alignment horizontal="left" vertical="center" wrapText="1"/>
      <protection locked="0"/>
    </xf>
    <xf numFmtId="179" fontId="0" fillId="0" borderId="11" xfId="0" applyNumberFormat="1" applyFont="1" applyBorder="1" applyAlignment="1">
      <alignment horizontal="left" vertical="center" wrapText="1" indent="1"/>
    </xf>
    <xf numFmtId="49" fontId="23" fillId="35" borderId="26" xfId="0" applyNumberFormat="1" applyFont="1" applyFill="1" applyBorder="1" applyAlignment="1">
      <alignment horizontal="right" vertical="center" wrapText="1" indent="1"/>
    </xf>
    <xf numFmtId="49" fontId="47" fillId="0" borderId="0" xfId="0" applyNumberFormat="1" applyFont="1" applyAlignment="1">
      <alignment vertical="center" wrapText="1"/>
    </xf>
    <xf numFmtId="49" fontId="0" fillId="36" borderId="12" xfId="0" applyNumberFormat="1" applyFont="1" applyFill="1" applyBorder="1" applyAlignment="1" applyProtection="1">
      <alignment horizontal="left" vertical="center" wrapText="1"/>
      <protection locked="0"/>
    </xf>
    <xf numFmtId="4" fontId="0" fillId="39" borderId="12" xfId="0" applyNumberFormat="1" applyFont="1" applyFill="1" applyBorder="1" applyAlignment="1" applyProtection="1">
      <alignment horizontal="right" vertical="center" wrapText="1"/>
      <protection locked="0"/>
    </xf>
    <xf numFmtId="49" fontId="23" fillId="0" borderId="0" xfId="0" applyNumberFormat="1" applyFont="1" applyAlignment="1">
      <alignment vertical="top" wrapText="1"/>
    </xf>
    <xf numFmtId="49" fontId="23" fillId="0" borderId="0" xfId="0" applyNumberFormat="1" applyFont="1" applyAlignment="1">
      <alignment vertical="top"/>
    </xf>
    <xf numFmtId="49" fontId="23" fillId="0" borderId="0" xfId="0" applyNumberFormat="1" applyFont="1" applyAlignment="1">
      <alignment vertical="top"/>
    </xf>
    <xf numFmtId="49" fontId="23" fillId="0" borderId="12" xfId="0" applyNumberFormat="1" applyFont="1" applyBorder="1" applyAlignment="1">
      <alignment horizontal="center" vertical="center" wrapText="1"/>
    </xf>
    <xf numFmtId="49" fontId="23" fillId="0" borderId="19" xfId="0" applyNumberFormat="1" applyFont="1" applyBorder="1" applyAlignment="1">
      <alignment horizontal="center" vertical="center" wrapText="1"/>
    </xf>
    <xf numFmtId="0" fontId="23" fillId="40" borderId="36" xfId="0" applyFont="1" applyFill="1" applyBorder="1" applyAlignment="1">
      <alignment horizontal="center" vertical="top" wrapText="1"/>
    </xf>
    <xf numFmtId="49" fontId="23" fillId="0" borderId="19" xfId="0" applyNumberFormat="1" applyFont="1" applyBorder="1" applyAlignment="1">
      <alignment horizontal="left" vertical="center" wrapText="1"/>
    </xf>
    <xf numFmtId="49" fontId="23" fillId="0" borderId="0" xfId="0" applyNumberFormat="1" applyFont="1" applyAlignment="1">
      <alignment horizontal="center" vertical="center" wrapText="1"/>
    </xf>
    <xf numFmtId="49" fontId="23" fillId="40" borderId="36" xfId="0" applyNumberFormat="1" applyFont="1" applyFill="1" applyBorder="1" applyAlignment="1">
      <alignment horizontal="center" vertical="center" wrapText="1"/>
    </xf>
    <xf numFmtId="0" fontId="40" fillId="0" borderId="0" xfId="0" applyFont="1" applyAlignment="1">
      <alignment horizontal="left" vertical="center"/>
    </xf>
    <xf numFmtId="49" fontId="23" fillId="0" borderId="19" xfId="0" applyNumberFormat="1" applyFont="1" applyBorder="1" applyAlignment="1">
      <alignment horizontal="left" vertical="center" wrapText="1"/>
    </xf>
    <xf numFmtId="49" fontId="23" fillId="0" borderId="0" xfId="0" applyNumberFormat="1" applyFont="1" applyAlignment="1">
      <alignment horizontal="left" vertical="center" wrapText="1"/>
    </xf>
    <xf numFmtId="49" fontId="23" fillId="35" borderId="0" xfId="0" applyNumberFormat="1" applyFont="1" applyFill="1" applyAlignment="1">
      <alignment horizontal="center" vertical="center" wrapText="1"/>
    </xf>
    <xf numFmtId="0" fontId="23" fillId="0" borderId="12" xfId="0" applyFont="1" applyBorder="1" applyAlignment="1">
      <alignment horizontal="center" vertical="center" wrapText="1"/>
    </xf>
    <xf numFmtId="0" fontId="48" fillId="0" borderId="0" xfId="0" applyFont="1" applyAlignment="1">
      <alignment horizontal="center" vertical="center" wrapText="1"/>
    </xf>
    <xf numFmtId="0" fontId="45" fillId="0" borderId="12" xfId="0" applyFont="1" applyBorder="1" applyAlignment="1">
      <alignment horizontal="center" vertical="center"/>
    </xf>
    <xf numFmtId="49" fontId="0" fillId="39" borderId="12" xfId="0" applyNumberFormat="1" applyFont="1" applyFill="1" applyBorder="1" applyAlignment="1" applyProtection="1">
      <alignment horizontal="left" vertical="center" wrapText="1"/>
      <protection locked="0"/>
    </xf>
    <xf numFmtId="0" fontId="47" fillId="0" borderId="0" xfId="0" applyFont="1" applyAlignment="1">
      <alignment horizontal="center" vertical="top"/>
    </xf>
    <xf numFmtId="49" fontId="23" fillId="0" borderId="36" xfId="0" applyNumberFormat="1" applyFont="1" applyBorder="1" applyAlignment="1">
      <alignment horizontal="center" vertical="top" wrapText="1"/>
    </xf>
    <xf numFmtId="0" fontId="23" fillId="0" borderId="12" xfId="0" applyFont="1" applyBorder="1" applyAlignment="1">
      <alignment horizontal="left" vertical="center" wrapText="1"/>
    </xf>
    <xf numFmtId="0" fontId="36" fillId="0" borderId="12" xfId="0" applyFont="1" applyBorder="1" applyAlignment="1">
      <alignment horizontal="center" vertical="center" wrapText="1"/>
    </xf>
    <xf numFmtId="49" fontId="40" fillId="37" borderId="51" xfId="0" applyNumberFormat="1" applyFont="1" applyFill="1" applyBorder="1" applyAlignment="1">
      <alignment horizontal="left" vertical="center" indent="1"/>
    </xf>
    <xf numFmtId="49" fontId="23" fillId="36" borderId="12" xfId="0" applyNumberFormat="1" applyFont="1" applyFill="1" applyBorder="1" applyAlignment="1" applyProtection="1">
      <alignment horizontal="left" vertical="center" wrapText="1"/>
      <protection locked="0"/>
    </xf>
    <xf numFmtId="49" fontId="48" fillId="0" borderId="12" xfId="0" applyNumberFormat="1" applyFont="1" applyBorder="1" applyAlignment="1">
      <alignment horizontal="center" vertical="center" wrapText="1"/>
    </xf>
    <xf numFmtId="179" fontId="0" fillId="39" borderId="12" xfId="0" applyNumberFormat="1" applyFont="1" applyFill="1" applyBorder="1" applyAlignment="1" applyProtection="1">
      <alignment horizontal="center" vertical="center" wrapText="1"/>
      <protection locked="0"/>
    </xf>
    <xf numFmtId="49" fontId="0" fillId="39" borderId="12" xfId="0" applyNumberFormat="1" applyFont="1" applyFill="1" applyBorder="1" applyAlignment="1" applyProtection="1">
      <alignment horizontal="center" vertical="center" wrapText="1"/>
      <protection locked="0"/>
    </xf>
    <xf numFmtId="0" fontId="23" fillId="0" borderId="12" xfId="0" applyFont="1" applyBorder="1" applyAlignment="1">
      <alignment horizontal="center" vertical="center" wrapText="1"/>
    </xf>
    <xf numFmtId="0" fontId="47" fillId="0" borderId="0" xfId="0" applyFont="1" applyAlignment="1">
      <alignment horizontal="center" vertical="center" wrapText="1"/>
    </xf>
    <xf numFmtId="0" fontId="0" fillId="0" borderId="12" xfId="0" applyFont="1" applyBorder="1" applyAlignment="1">
      <alignment horizontal="left" vertical="center" wrapText="1"/>
    </xf>
    <xf numFmtId="0" fontId="23" fillId="0" borderId="36" xfId="0" applyFont="1" applyBorder="1" applyAlignment="1">
      <alignment horizontal="center" vertical="center" wrapText="1"/>
    </xf>
    <xf numFmtId="0" fontId="23" fillId="35" borderId="14" xfId="0" applyFont="1" applyFill="1" applyBorder="1" applyAlignment="1">
      <alignment horizontal="center" vertical="center" wrapText="1"/>
    </xf>
    <xf numFmtId="49" fontId="0" fillId="35" borderId="12" xfId="0" applyNumberFormat="1" applyFont="1" applyFill="1" applyBorder="1" applyAlignment="1">
      <alignment horizontal="center" vertical="center" wrapText="1"/>
    </xf>
    <xf numFmtId="49" fontId="23" fillId="0" borderId="12" xfId="0" applyNumberFormat="1" applyFont="1" applyBorder="1" applyAlignment="1">
      <alignment horizontal="center" vertical="center" wrapText="1"/>
    </xf>
    <xf numFmtId="49" fontId="23" fillId="40" borderId="14" xfId="0" applyNumberFormat="1" applyFont="1" applyFill="1" applyBorder="1" applyAlignment="1">
      <alignment horizontal="left" vertical="center" wrapText="1"/>
    </xf>
    <xf numFmtId="0" fontId="23" fillId="0" borderId="23" xfId="0" applyFont="1" applyBorder="1" applyAlignment="1">
      <alignment horizontal="center" vertical="center" wrapText="1"/>
    </xf>
    <xf numFmtId="0" fontId="45" fillId="0" borderId="13" xfId="0" applyFont="1" applyBorder="1" applyAlignment="1">
      <alignment horizontal="center" vertical="center"/>
    </xf>
    <xf numFmtId="49" fontId="0" fillId="38" borderId="0" xfId="0" applyNumberFormat="1" applyFont="1" applyFill="1" applyAlignment="1">
      <alignment vertical="top"/>
    </xf>
    <xf numFmtId="0" fontId="37" fillId="35" borderId="0" xfId="0" applyFont="1" applyFill="1" applyAlignment="1">
      <alignment horizontal="center" vertical="center" wrapText="1"/>
    </xf>
    <xf numFmtId="0" fontId="37" fillId="35" borderId="0" xfId="0" applyFont="1" applyFill="1" applyAlignment="1">
      <alignment horizontal="center"/>
    </xf>
    <xf numFmtId="0" fontId="37" fillId="0" borderId="0" xfId="0" applyFont="1" applyAlignment="1">
      <alignment horizontal="center" vertical="center" wrapText="1"/>
    </xf>
    <xf numFmtId="0" fontId="42" fillId="0" borderId="0" xfId="0" applyFont="1" applyAlignment="1">
      <alignment vertical="center" wrapText="1"/>
    </xf>
    <xf numFmtId="0" fontId="0" fillId="0" borderId="0" xfId="0" applyFont="1" applyAlignment="1">
      <alignment vertical="center"/>
    </xf>
    <xf numFmtId="49" fontId="0" fillId="0" borderId="12" xfId="0" applyNumberFormat="1" applyFont="1" applyBorder="1" applyAlignment="1">
      <alignment vertical="top"/>
    </xf>
    <xf numFmtId="49" fontId="0" fillId="0" borderId="12" xfId="0" applyNumberFormat="1" applyFont="1" applyBorder="1" applyAlignment="1">
      <alignment vertical="top"/>
    </xf>
    <xf numFmtId="49" fontId="23" fillId="0" borderId="0" xfId="0" applyNumberFormat="1" applyFont="1" applyAlignment="1">
      <alignment vertical="top"/>
    </xf>
    <xf numFmtId="0" fontId="37" fillId="35" borderId="0" xfId="0" applyFont="1" applyFill="1" applyAlignment="1">
      <alignment vertical="top" wrapText="1"/>
    </xf>
    <xf numFmtId="49" fontId="123" fillId="39" borderId="12" xfId="0" applyNumberFormat="1" applyFont="1" applyFill="1" applyBorder="1" applyAlignment="1" applyProtection="1">
      <alignment horizontal="left" vertical="center" wrapText="1"/>
      <protection locked="0"/>
    </xf>
    <xf numFmtId="49" fontId="37" fillId="0" borderId="0" xfId="0" applyNumberFormat="1" applyFont="1" applyAlignment="1">
      <alignment horizontal="center" vertical="center" wrapText="1"/>
    </xf>
    <xf numFmtId="0" fontId="37" fillId="0" borderId="24" xfId="0" applyFont="1" applyBorder="1" applyAlignment="1">
      <alignment horizontal="center" vertical="center" wrapText="1"/>
    </xf>
    <xf numFmtId="49" fontId="124" fillId="0" borderId="0" xfId="0" applyNumberFormat="1" applyFont="1" applyAlignment="1">
      <alignment horizontal="center" vertical="top" wrapText="1"/>
    </xf>
    <xf numFmtId="49" fontId="0" fillId="34" borderId="36" xfId="0" applyNumberFormat="1" applyFont="1" applyFill="1" applyBorder="1" applyAlignment="1">
      <alignment vertical="top"/>
    </xf>
    <xf numFmtId="49" fontId="0" fillId="0" borderId="36" xfId="0" applyNumberFormat="1" applyFont="1" applyBorder="1" applyAlignment="1">
      <alignment vertical="top"/>
    </xf>
    <xf numFmtId="49" fontId="0" fillId="39" borderId="36" xfId="0" applyNumberFormat="1" applyFont="1" applyFill="1" applyBorder="1" applyAlignment="1" applyProtection="1">
      <alignment vertical="top"/>
      <protection locked="0"/>
    </xf>
    <xf numFmtId="49" fontId="0" fillId="39" borderId="17" xfId="0" applyNumberFormat="1" applyFont="1" applyFill="1" applyBorder="1" applyAlignment="1" applyProtection="1">
      <alignment vertical="top"/>
      <protection locked="0"/>
    </xf>
    <xf numFmtId="49" fontId="0" fillId="39" borderId="23" xfId="0" applyNumberFormat="1" applyFont="1" applyFill="1" applyBorder="1" applyAlignment="1" applyProtection="1">
      <alignment vertical="top"/>
      <protection locked="0"/>
    </xf>
    <xf numFmtId="49" fontId="124" fillId="0" borderId="36" xfId="0" applyNumberFormat="1" applyFont="1" applyBorder="1" applyAlignment="1">
      <alignment horizontal="center" vertical="top" wrapText="1"/>
    </xf>
    <xf numFmtId="49" fontId="0" fillId="0" borderId="0" xfId="0" applyNumberFormat="1" applyFont="1" applyAlignment="1">
      <alignment vertical="top"/>
    </xf>
    <xf numFmtId="49" fontId="0" fillId="0" borderId="19" xfId="0" applyNumberFormat="1" applyFont="1" applyBorder="1" applyAlignment="1">
      <alignment vertical="top"/>
    </xf>
    <xf numFmtId="49" fontId="0" fillId="0" borderId="22" xfId="0" applyNumberFormat="1" applyFont="1" applyBorder="1" applyAlignment="1">
      <alignment vertical="top"/>
    </xf>
    <xf numFmtId="49" fontId="0" fillId="0" borderId="24" xfId="0" applyNumberFormat="1" applyFont="1" applyBorder="1" applyAlignment="1">
      <alignment vertical="top"/>
    </xf>
    <xf numFmtId="49" fontId="0" fillId="0" borderId="0" xfId="0" applyNumberFormat="1" applyFont="1" applyAlignment="1">
      <alignment horizontal="left" vertical="top"/>
    </xf>
    <xf numFmtId="49" fontId="0" fillId="0" borderId="0" xfId="0" applyNumberFormat="1" applyFont="1" applyAlignment="1">
      <alignment vertical="center"/>
    </xf>
    <xf numFmtId="0" fontId="0" fillId="0" borderId="0" xfId="0" applyFont="1" applyAlignment="1">
      <alignment vertical="center"/>
    </xf>
    <xf numFmtId="0" fontId="37" fillId="0" borderId="0" xfId="0" applyFont="1" applyAlignment="1">
      <alignment horizontal="center" vertical="center" wrapText="1"/>
    </xf>
    <xf numFmtId="49" fontId="0" fillId="39" borderId="12" xfId="0" applyNumberFormat="1" applyFont="1" applyFill="1" applyBorder="1" applyAlignment="1" applyProtection="1">
      <alignment horizontal="left" vertical="center" wrapText="1"/>
      <protection locked="0"/>
    </xf>
    <xf numFmtId="0" fontId="0" fillId="0" borderId="0" xfId="0" applyFont="1" applyAlignment="1">
      <alignment horizontal="left" vertical="center" indent="1"/>
    </xf>
    <xf numFmtId="0" fontId="0" fillId="0" borderId="0" xfId="0" applyFont="1" applyAlignment="1">
      <alignment vertical="center"/>
    </xf>
    <xf numFmtId="0" fontId="0" fillId="37" borderId="15" xfId="0" applyFont="1" applyFill="1" applyBorder="1" applyAlignment="1">
      <alignment vertical="center"/>
    </xf>
    <xf numFmtId="49" fontId="0" fillId="0" borderId="36" xfId="0" applyNumberFormat="1" applyFont="1" applyBorder="1" applyAlignment="1">
      <alignment horizontal="left" vertical="top"/>
    </xf>
    <xf numFmtId="49" fontId="0" fillId="40" borderId="36" xfId="0" applyNumberFormat="1" applyFont="1" applyFill="1" applyBorder="1" applyAlignment="1">
      <alignment horizontal="left" vertical="top"/>
    </xf>
    <xf numFmtId="49" fontId="0" fillId="36" borderId="36" xfId="0" applyNumberFormat="1" applyFont="1" applyFill="1" applyBorder="1" applyAlignment="1" applyProtection="1">
      <alignment horizontal="left" vertical="top"/>
      <protection locked="0"/>
    </xf>
    <xf numFmtId="49" fontId="0" fillId="0" borderId="0" xfId="0" applyNumberFormat="1" applyFont="1" applyAlignment="1">
      <alignment vertical="top"/>
    </xf>
    <xf numFmtId="49" fontId="0" fillId="36" borderId="36" xfId="0" applyNumberFormat="1" applyFont="1" applyFill="1" applyBorder="1" applyAlignment="1" applyProtection="1">
      <alignment vertical="top"/>
      <protection locked="0"/>
    </xf>
    <xf numFmtId="49" fontId="0" fillId="0" borderId="19" xfId="0" applyNumberFormat="1" applyFont="1" applyBorder="1" applyAlignment="1">
      <alignment horizontal="left" vertical="center" wrapText="1"/>
    </xf>
    <xf numFmtId="0" fontId="0" fillId="0" borderId="0" xfId="0" applyFont="1" applyAlignment="1">
      <alignment vertical="center"/>
    </xf>
    <xf numFmtId="0" fontId="0" fillId="0" borderId="27" xfId="0" applyFont="1" applyBorder="1" applyAlignment="1">
      <alignment vertical="center"/>
    </xf>
    <xf numFmtId="49" fontId="37" fillId="0" borderId="36" xfId="0" applyNumberFormat="1" applyFont="1" applyBorder="1" applyAlignment="1">
      <alignment vertical="center" wrapText="1"/>
    </xf>
    <xf numFmtId="49" fontId="37" fillId="0" borderId="36" xfId="0" applyNumberFormat="1" applyFont="1" applyBorder="1" applyAlignment="1">
      <alignment horizontal="center" vertical="center" wrapText="1"/>
    </xf>
    <xf numFmtId="49" fontId="37" fillId="0" borderId="19" xfId="0" applyNumberFormat="1" applyFont="1" applyBorder="1" applyAlignment="1">
      <alignment vertical="center" wrapText="1"/>
    </xf>
    <xf numFmtId="49" fontId="37" fillId="0" borderId="0" xfId="0" applyNumberFormat="1" applyFont="1" applyAlignment="1">
      <alignment vertical="center" wrapText="1"/>
    </xf>
    <xf numFmtId="49" fontId="37" fillId="0" borderId="0" xfId="0" applyNumberFormat="1" applyFont="1" applyAlignment="1">
      <alignment horizontal="center" vertical="center" wrapText="1"/>
    </xf>
    <xf numFmtId="0" fontId="23" fillId="35" borderId="23" xfId="0" applyFont="1" applyFill="1" applyBorder="1" applyAlignment="1">
      <alignment horizontal="center" vertical="center" wrapText="1"/>
    </xf>
    <xf numFmtId="0" fontId="23" fillId="0" borderId="36" xfId="0" applyFont="1" applyBorder="1" applyAlignment="1">
      <alignment horizontal="left" vertical="top" wrapText="1"/>
    </xf>
    <xf numFmtId="0" fontId="0" fillId="0" borderId="13" xfId="0" applyFont="1" applyBorder="1" applyAlignment="1">
      <alignment horizontal="center" vertical="center" wrapText="1"/>
    </xf>
    <xf numFmtId="4" fontId="0" fillId="39" borderId="13" xfId="0" applyNumberFormat="1" applyFont="1" applyFill="1" applyBorder="1" applyAlignment="1" applyProtection="1">
      <alignment horizontal="right" vertical="center" wrapText="1"/>
      <protection locked="0"/>
    </xf>
    <xf numFmtId="0" fontId="0" fillId="0" borderId="13" xfId="0" applyFont="1" applyBorder="1" applyAlignment="1">
      <alignment horizontal="center" vertical="center" wrapText="1"/>
    </xf>
    <xf numFmtId="0" fontId="23" fillId="40" borderId="12" xfId="0" applyFont="1" applyFill="1" applyBorder="1" applyAlignment="1">
      <alignment horizontal="left" vertical="center" wrapText="1"/>
    </xf>
    <xf numFmtId="49" fontId="0" fillId="35" borderId="17" xfId="0" applyNumberFormat="1" applyFont="1" applyFill="1" applyBorder="1" applyAlignment="1">
      <alignment horizontal="center" vertical="center" wrapText="1"/>
    </xf>
    <xf numFmtId="0" fontId="0" fillId="0" borderId="23" xfId="0" applyFont="1" applyBorder="1" applyAlignment="1">
      <alignment horizontal="center" vertical="center" wrapText="1"/>
    </xf>
    <xf numFmtId="0" fontId="23" fillId="40" borderId="14" xfId="0" applyFont="1" applyFill="1" applyBorder="1" applyAlignment="1">
      <alignment horizontal="left" vertical="center" wrapText="1"/>
    </xf>
    <xf numFmtId="49" fontId="0" fillId="0" borderId="12" xfId="0" applyNumberFormat="1" applyFont="1" applyBorder="1" applyAlignment="1">
      <alignment horizontal="center" vertical="center" wrapText="1"/>
    </xf>
    <xf numFmtId="49" fontId="45" fillId="54" borderId="0" xfId="0" applyNumberFormat="1" applyFont="1" applyFill="1" applyAlignment="1">
      <alignment vertical="center" wrapText="1"/>
    </xf>
    <xf numFmtId="0" fontId="47" fillId="0" borderId="0" xfId="0" applyFont="1" applyAlignment="1">
      <alignment vertical="top" wrapText="1"/>
    </xf>
    <xf numFmtId="49" fontId="32" fillId="0" borderId="0" xfId="0" applyNumberFormat="1" applyFont="1" applyAlignment="1">
      <alignment horizontal="center" vertical="top" wrapText="1"/>
    </xf>
    <xf numFmtId="49" fontId="23" fillId="0" borderId="0" xfId="0" applyNumberFormat="1" applyFont="1" applyAlignment="1">
      <alignment horizontal="center" vertical="top" wrapText="1"/>
    </xf>
    <xf numFmtId="49" fontId="23" fillId="35" borderId="0" xfId="0" applyNumberFormat="1" applyFont="1" applyFill="1" applyAlignment="1">
      <alignment horizontal="center" vertical="top" wrapText="1"/>
    </xf>
    <xf numFmtId="0" fontId="0" fillId="0" borderId="36" xfId="0" applyFont="1" applyBorder="1" applyAlignment="1">
      <alignment horizontal="center" vertical="center" wrapText="1"/>
    </xf>
    <xf numFmtId="0" fontId="23" fillId="0" borderId="13" xfId="0" applyFont="1" applyBorder="1" applyAlignment="1">
      <alignment horizontal="center" vertical="center" wrapText="1"/>
    </xf>
    <xf numFmtId="0" fontId="23" fillId="0" borderId="13" xfId="0" applyFont="1" applyBorder="1" applyAlignment="1">
      <alignment horizontal="center" vertical="center" wrapText="1"/>
    </xf>
    <xf numFmtId="0" fontId="23" fillId="0" borderId="12" xfId="0" applyFont="1" applyBorder="1" applyAlignment="1">
      <alignment horizontal="center" vertical="center" wrapText="1"/>
    </xf>
    <xf numFmtId="0" fontId="23" fillId="0" borderId="17" xfId="0" applyFont="1" applyBorder="1" applyAlignment="1">
      <alignment horizontal="center" vertical="center" wrapText="1"/>
    </xf>
    <xf numFmtId="0" fontId="23" fillId="0" borderId="12" xfId="0" applyFont="1" applyBorder="1" applyAlignment="1">
      <alignment horizontal="left" vertical="center" wrapText="1"/>
    </xf>
    <xf numFmtId="0" fontId="23" fillId="0" borderId="12" xfId="0" applyFont="1" applyBorder="1" applyAlignment="1">
      <alignment horizontal="center" vertical="center" wrapText="1"/>
    </xf>
    <xf numFmtId="0" fontId="47" fillId="0" borderId="0" xfId="0" applyFont="1" applyAlignment="1">
      <alignment horizontal="center" vertical="center" wrapText="1"/>
    </xf>
    <xf numFmtId="0" fontId="47" fillId="0" borderId="12" xfId="0" applyFont="1" applyBorder="1" applyAlignment="1">
      <alignment horizontal="center" vertical="center" wrapText="1"/>
    </xf>
    <xf numFmtId="0" fontId="23" fillId="39" borderId="12" xfId="0" applyFont="1" applyFill="1" applyBorder="1" applyAlignment="1" applyProtection="1">
      <alignment horizontal="center" vertical="center" wrapText="1"/>
      <protection locked="0"/>
    </xf>
    <xf numFmtId="49" fontId="23" fillId="34" borderId="12" xfId="0" applyNumberFormat="1" applyFont="1" applyFill="1" applyBorder="1" applyAlignment="1">
      <alignment horizontal="center" vertical="center" wrapText="1"/>
    </xf>
    <xf numFmtId="0" fontId="0" fillId="0" borderId="12" xfId="0" applyFont="1" applyBorder="1" applyAlignment="1">
      <alignment horizontal="left" vertical="top" wrapText="1"/>
    </xf>
    <xf numFmtId="14" fontId="23" fillId="40" borderId="12" xfId="0" applyNumberFormat="1" applyFont="1" applyFill="1" applyBorder="1" applyAlignment="1">
      <alignment horizontal="left" vertical="center" wrapText="1" indent="1"/>
    </xf>
    <xf numFmtId="49" fontId="125" fillId="0" borderId="12" xfId="0" applyNumberFormat="1" applyFont="1" applyBorder="1" applyAlignment="1">
      <alignment horizontal="left" vertical="center" wrapText="1" indent="1"/>
    </xf>
    <xf numFmtId="0" fontId="23" fillId="0" borderId="14" xfId="0" applyFont="1" applyBorder="1" applyAlignment="1">
      <alignment horizontal="center" vertical="center" wrapText="1"/>
    </xf>
    <xf numFmtId="49" fontId="23" fillId="0" borderId="12" xfId="0" applyNumberFormat="1" applyFont="1" applyBorder="1" applyAlignment="1">
      <alignment horizontal="center" vertical="center" wrapText="1"/>
    </xf>
    <xf numFmtId="0" fontId="23" fillId="0" borderId="23" xfId="0" applyFont="1" applyBorder="1" applyAlignment="1">
      <alignment horizontal="left" vertical="center" wrapText="1" indent="1"/>
    </xf>
    <xf numFmtId="0" fontId="23" fillId="34" borderId="12" xfId="0" applyFont="1" applyFill="1" applyBorder="1" applyAlignment="1">
      <alignment horizontal="left" vertical="center" wrapText="1" indent="1"/>
    </xf>
    <xf numFmtId="0" fontId="48" fillId="0" borderId="0" xfId="0" applyFont="1" applyAlignment="1">
      <alignment horizontal="center" vertical="center" wrapText="1"/>
    </xf>
    <xf numFmtId="180" fontId="23" fillId="0" borderId="23" xfId="0" applyNumberFormat="1" applyFont="1" applyBorder="1" applyAlignment="1">
      <alignment horizontal="center" vertical="center" wrapText="1"/>
    </xf>
    <xf numFmtId="0" fontId="23" fillId="0" borderId="0" xfId="0" applyFont="1" applyAlignment="1">
      <alignment horizontal="right" vertical="center" wrapText="1"/>
    </xf>
    <xf numFmtId="0" fontId="23" fillId="35" borderId="12" xfId="0" applyFont="1" applyFill="1" applyBorder="1" applyAlignment="1">
      <alignment vertical="top" wrapText="1"/>
    </xf>
    <xf numFmtId="0" fontId="23" fillId="35" borderId="12" xfId="0" applyFont="1" applyFill="1" applyBorder="1" applyAlignment="1">
      <alignment horizontal="left" vertical="top" wrapText="1"/>
    </xf>
    <xf numFmtId="49" fontId="54" fillId="36" borderId="23" xfId="0" applyNumberFormat="1" applyFont="1" applyFill="1" applyBorder="1" applyAlignment="1" applyProtection="1">
      <alignment horizontal="left" vertical="center" wrapText="1"/>
      <protection locked="0"/>
    </xf>
    <xf numFmtId="49" fontId="0" fillId="37" borderId="29" xfId="0" applyNumberFormat="1" applyFont="1" applyFill="1" applyBorder="1" applyAlignment="1">
      <alignment horizontal="right" vertical="center" wrapText="1"/>
    </xf>
    <xf numFmtId="0" fontId="23" fillId="0" borderId="0" xfId="0" applyFont="1" applyAlignment="1">
      <alignment horizontal="left" vertical="center" wrapText="1"/>
    </xf>
    <xf numFmtId="0" fontId="0" fillId="48" borderId="0" xfId="0" applyFont="1" applyFill="1" applyAlignment="1">
      <alignment horizontal="right" vertical="top" wrapText="1"/>
    </xf>
    <xf numFmtId="0" fontId="23" fillId="0" borderId="0" xfId="0" applyFont="1" applyAlignment="1">
      <alignment horizontal="left" vertical="top" wrapText="1"/>
    </xf>
    <xf numFmtId="14" fontId="23" fillId="0" borderId="23" xfId="0" applyNumberFormat="1" applyFont="1" applyBorder="1" applyAlignment="1">
      <alignment horizontal="left" vertical="center" wrapText="1" indent="1"/>
    </xf>
    <xf numFmtId="0" fontId="23" fillId="0" borderId="12" xfId="0" applyFont="1" applyBorder="1" applyAlignment="1">
      <alignment horizontal="center" vertical="center" wrapText="1"/>
    </xf>
    <xf numFmtId="0" fontId="23" fillId="0" borderId="23" xfId="0" applyFont="1" applyBorder="1" applyAlignment="1">
      <alignment horizontal="center" vertical="center" wrapText="1"/>
    </xf>
    <xf numFmtId="0" fontId="23" fillId="34" borderId="12" xfId="0" applyFont="1" applyFill="1" applyBorder="1" applyAlignment="1">
      <alignment horizontal="left" vertical="center" wrapText="1" indent="1"/>
    </xf>
    <xf numFmtId="0" fontId="48" fillId="0" borderId="0" xfId="0" applyFont="1" applyAlignment="1">
      <alignment horizontal="center" vertical="center" wrapText="1"/>
    </xf>
    <xf numFmtId="0" fontId="23" fillId="34" borderId="12" xfId="0" applyFont="1" applyFill="1" applyBorder="1" applyAlignment="1">
      <alignment horizontal="left" vertical="center" wrapText="1"/>
    </xf>
    <xf numFmtId="180" fontId="23" fillId="0" borderId="12" xfId="0" applyNumberFormat="1" applyFont="1" applyBorder="1" applyAlignment="1">
      <alignment horizontal="center" vertical="center" wrapText="1"/>
    </xf>
    <xf numFmtId="0" fontId="23" fillId="0" borderId="14" xfId="0" applyFont="1" applyBorder="1" applyAlignment="1">
      <alignment horizontal="center" vertical="center" wrapText="1"/>
    </xf>
    <xf numFmtId="0" fontId="48" fillId="0" borderId="0" xfId="0" applyFont="1" applyAlignment="1">
      <alignment horizontal="center" vertical="center" wrapText="1"/>
    </xf>
    <xf numFmtId="49" fontId="23" fillId="39" borderId="12" xfId="0" applyNumberFormat="1" applyFont="1" applyFill="1" applyBorder="1" applyAlignment="1" applyProtection="1">
      <alignment horizontal="left" vertical="center" wrapText="1"/>
      <protection locked="0"/>
    </xf>
    <xf numFmtId="0" fontId="23" fillId="35" borderId="36" xfId="0" applyFont="1" applyFill="1" applyBorder="1" applyAlignment="1">
      <alignment vertical="center" wrapText="1"/>
    </xf>
    <xf numFmtId="180" fontId="45" fillId="0" borderId="19" xfId="0" applyNumberFormat="1" applyFont="1" applyBorder="1" applyAlignment="1">
      <alignment horizontal="center" vertical="center" wrapText="1"/>
    </xf>
    <xf numFmtId="180" fontId="45" fillId="0" borderId="20" xfId="0" applyNumberFormat="1" applyFont="1" applyBorder="1" applyAlignment="1">
      <alignment horizontal="center" vertical="center" wrapText="1"/>
    </xf>
    <xf numFmtId="181" fontId="23" fillId="39" borderId="12" xfId="0" applyNumberFormat="1" applyFont="1" applyFill="1" applyBorder="1" applyAlignment="1" applyProtection="1">
      <alignment horizontal="left" vertical="center" wrapText="1" indent="1"/>
      <protection locked="0"/>
    </xf>
    <xf numFmtId="179" fontId="0" fillId="39" borderId="15" xfId="0" applyNumberFormat="1" applyFont="1" applyFill="1" applyBorder="1" applyAlignment="1" applyProtection="1">
      <alignment horizontal="left" vertical="center" wrapText="1" indent="1"/>
      <protection locked="0"/>
    </xf>
    <xf numFmtId="49" fontId="23" fillId="39" borderId="27" xfId="0" applyNumberFormat="1" applyFont="1" applyFill="1" applyBorder="1" applyAlignment="1" applyProtection="1">
      <alignment horizontal="left" vertical="center" wrapText="1"/>
      <protection locked="0"/>
    </xf>
    <xf numFmtId="49" fontId="23" fillId="39" borderId="30" xfId="0" applyNumberFormat="1" applyFont="1" applyFill="1" applyBorder="1" applyAlignment="1" applyProtection="1">
      <alignment horizontal="left" vertical="center" wrapText="1"/>
      <protection locked="0"/>
    </xf>
    <xf numFmtId="49" fontId="54" fillId="37" borderId="29" xfId="0" applyNumberFormat="1" applyFont="1" applyFill="1" applyBorder="1" applyAlignment="1">
      <alignment horizontal="left" vertical="center" wrapText="1"/>
    </xf>
    <xf numFmtId="0" fontId="23" fillId="39" borderId="12" xfId="0" applyFont="1" applyFill="1" applyBorder="1" applyAlignment="1" applyProtection="1">
      <alignment horizontal="left" vertical="top" wrapText="1" indent="1"/>
      <protection locked="0"/>
    </xf>
    <xf numFmtId="0" fontId="23" fillId="0" borderId="15" xfId="0" applyFont="1" applyBorder="1" applyAlignment="1">
      <alignment horizontal="center" vertical="center" wrapText="1"/>
    </xf>
    <xf numFmtId="0" fontId="48" fillId="0" borderId="0" xfId="0" applyFont="1" applyAlignment="1">
      <alignment horizontal="center" vertical="center" wrapText="1"/>
    </xf>
    <xf numFmtId="0" fontId="23" fillId="35" borderId="22" xfId="0" applyFont="1" applyFill="1" applyBorder="1" applyAlignment="1">
      <alignment vertical="center" wrapText="1"/>
    </xf>
    <xf numFmtId="0" fontId="36" fillId="0" borderId="0" xfId="75" applyNumberFormat="1" applyFont="1" applyAlignment="1">
      <alignment horizontal="center" vertical="center" wrapText="1"/>
      <protection/>
    </xf>
    <xf numFmtId="0" fontId="36" fillId="0" borderId="0" xfId="75" applyNumberFormat="1" applyFont="1" applyAlignment="1">
      <alignment horizontal="center" vertical="center" wrapText="1"/>
      <protection/>
    </xf>
    <xf numFmtId="0" fontId="36" fillId="0" borderId="0" xfId="75" applyNumberFormat="1" applyFont="1" applyAlignment="1">
      <alignment horizontal="center" vertical="center" wrapText="1"/>
      <protection/>
    </xf>
    <xf numFmtId="0" fontId="36" fillId="0" borderId="0" xfId="75" applyNumberFormat="1" applyFont="1" applyAlignment="1">
      <alignment horizontal="center" vertical="center" wrapText="1"/>
      <protection/>
    </xf>
    <xf numFmtId="0" fontId="36" fillId="0" borderId="12" xfId="75" applyNumberFormat="1" applyFont="1" applyBorder="1" applyAlignment="1">
      <alignment horizontal="center" vertical="center" wrapText="1"/>
      <protection/>
    </xf>
    <xf numFmtId="0" fontId="23" fillId="0" borderId="12" xfId="0" applyFont="1" applyBorder="1" applyAlignment="1">
      <alignment horizontal="left" vertical="top" wrapText="1"/>
    </xf>
    <xf numFmtId="49" fontId="23" fillId="0" borderId="19" xfId="0" applyNumberFormat="1" applyFont="1" applyBorder="1" applyAlignment="1">
      <alignment horizontal="center" vertical="center" wrapText="1"/>
    </xf>
    <xf numFmtId="49" fontId="23" fillId="0" borderId="0" xfId="0" applyNumberFormat="1" applyFont="1" applyAlignment="1">
      <alignment horizontal="center" vertical="center" wrapText="1"/>
    </xf>
    <xf numFmtId="49" fontId="0" fillId="0" borderId="19" xfId="0" applyNumberFormat="1" applyFont="1" applyBorder="1" applyAlignment="1">
      <alignment horizontal="left" vertical="center" wrapText="1"/>
    </xf>
    <xf numFmtId="0" fontId="40" fillId="0" borderId="0" xfId="0" applyFont="1" applyAlignment="1">
      <alignment horizontal="left" vertical="center"/>
    </xf>
    <xf numFmtId="0" fontId="40" fillId="0" borderId="24" xfId="0" applyFont="1" applyBorder="1" applyAlignment="1">
      <alignment horizontal="left" vertical="center"/>
    </xf>
    <xf numFmtId="0" fontId="40" fillId="0" borderId="27" xfId="0" applyFont="1" applyBorder="1" applyAlignment="1">
      <alignment horizontal="left" vertical="center"/>
    </xf>
    <xf numFmtId="0" fontId="40" fillId="0" borderId="29" xfId="0" applyFont="1" applyBorder="1" applyAlignment="1">
      <alignment horizontal="left" vertical="center"/>
    </xf>
    <xf numFmtId="0" fontId="0" fillId="0" borderId="12" xfId="0" applyFont="1" applyBorder="1" applyAlignment="1">
      <alignment horizontal="center" vertical="center" wrapText="1"/>
    </xf>
    <xf numFmtId="0" fontId="23" fillId="0" borderId="0" xfId="0" applyFont="1" applyAlignment="1">
      <alignment horizontal="center" vertical="center" wrapText="1"/>
    </xf>
    <xf numFmtId="0" fontId="23" fillId="0" borderId="0" xfId="0" applyFont="1" applyAlignment="1">
      <alignment horizontal="center" vertical="center" wrapText="1"/>
    </xf>
    <xf numFmtId="0" fontId="23" fillId="0" borderId="12" xfId="0" applyFont="1" applyBorder="1" applyAlignment="1">
      <alignment horizontal="center" vertical="center" wrapText="1"/>
    </xf>
    <xf numFmtId="49" fontId="23" fillId="40" borderId="12" xfId="0" applyNumberFormat="1" applyFont="1" applyFill="1" applyBorder="1" applyAlignment="1">
      <alignment horizontal="center" vertical="center" wrapText="1"/>
    </xf>
    <xf numFmtId="49" fontId="23" fillId="0" borderId="19" xfId="0" applyNumberFormat="1" applyFont="1" applyBorder="1" applyAlignment="1">
      <alignment horizontal="center" vertical="center" wrapText="1"/>
    </xf>
    <xf numFmtId="49" fontId="23" fillId="0" borderId="0" xfId="0" applyNumberFormat="1" applyFont="1" applyAlignment="1">
      <alignment horizontal="center" vertical="center" wrapText="1"/>
    </xf>
    <xf numFmtId="49" fontId="0" fillId="0" borderId="19" xfId="0" applyNumberFormat="1" applyFont="1" applyBorder="1" applyAlignment="1">
      <alignment horizontal="left" vertical="center" wrapText="1"/>
    </xf>
    <xf numFmtId="0" fontId="40" fillId="0" borderId="27" xfId="0" applyFont="1" applyBorder="1" applyAlignment="1">
      <alignment horizontal="left" vertical="center"/>
    </xf>
    <xf numFmtId="0" fontId="40" fillId="0" borderId="29" xfId="0" applyFont="1" applyBorder="1" applyAlignment="1">
      <alignment horizontal="left" vertical="center"/>
    </xf>
    <xf numFmtId="0" fontId="40" fillId="0" borderId="0" xfId="0" applyFont="1" applyAlignment="1">
      <alignment horizontal="left" vertical="center"/>
    </xf>
    <xf numFmtId="0" fontId="40" fillId="0" borderId="24" xfId="0" applyFont="1" applyBorder="1" applyAlignment="1">
      <alignment horizontal="left" vertical="center"/>
    </xf>
    <xf numFmtId="0" fontId="23" fillId="35" borderId="12" xfId="0" applyFont="1" applyFill="1" applyBorder="1" applyAlignment="1">
      <alignment horizontal="center" vertical="center" wrapText="1"/>
    </xf>
    <xf numFmtId="0" fontId="47" fillId="0" borderId="0" xfId="0" applyFont="1" applyAlignment="1">
      <alignment horizontal="center" vertical="center" wrapText="1"/>
    </xf>
    <xf numFmtId="0" fontId="23" fillId="34" borderId="15" xfId="0" applyFont="1" applyFill="1" applyBorder="1" applyAlignment="1">
      <alignment horizontal="left" vertical="center" wrapText="1"/>
    </xf>
    <xf numFmtId="0" fontId="23" fillId="0" borderId="0" xfId="0" applyFont="1" applyAlignment="1">
      <alignment horizontal="left" vertical="top" wrapText="1"/>
    </xf>
    <xf numFmtId="0" fontId="48" fillId="0" borderId="0" xfId="0" applyFont="1" applyAlignment="1">
      <alignment horizontal="center" vertical="center" wrapText="1"/>
    </xf>
    <xf numFmtId="179" fontId="0" fillId="39" borderId="12" xfId="0" applyNumberFormat="1" applyFont="1" applyFill="1" applyBorder="1" applyAlignment="1" applyProtection="1">
      <alignment horizontal="center" vertical="center" wrapText="1"/>
      <protection locked="0"/>
    </xf>
    <xf numFmtId="0" fontId="81" fillId="35" borderId="19" xfId="0" applyFont="1" applyFill="1" applyBorder="1" applyAlignment="1">
      <alignment horizontal="center" vertical="center" wrapText="1"/>
    </xf>
    <xf numFmtId="0" fontId="37" fillId="0" borderId="27" xfId="0" applyFont="1" applyBorder="1" applyAlignment="1">
      <alignment horizontal="center" vertical="center" wrapText="1"/>
    </xf>
    <xf numFmtId="0" fontId="23" fillId="35" borderId="12" xfId="0" applyFont="1" applyFill="1" applyBorder="1" applyAlignment="1">
      <alignment horizontal="left" vertical="center" wrapText="1"/>
    </xf>
    <xf numFmtId="0" fontId="23" fillId="35" borderId="23" xfId="0" applyFont="1" applyFill="1" applyBorder="1" applyAlignment="1">
      <alignment horizontal="center" vertical="center" wrapText="1"/>
    </xf>
    <xf numFmtId="0" fontId="48" fillId="0" borderId="15" xfId="0" applyFont="1" applyBorder="1" applyAlignment="1">
      <alignment horizontal="left" vertical="center" wrapText="1"/>
    </xf>
    <xf numFmtId="49" fontId="23" fillId="39" borderId="17" xfId="0" applyNumberFormat="1" applyFont="1" applyFill="1" applyBorder="1" applyAlignment="1" applyProtection="1">
      <alignment horizontal="left" vertical="center" wrapText="1" indent="6"/>
      <protection locked="0"/>
    </xf>
    <xf numFmtId="0" fontId="23" fillId="35" borderId="17" xfId="0" applyFont="1" applyFill="1" applyBorder="1" applyAlignment="1">
      <alignment horizontal="left" vertical="center" wrapText="1"/>
    </xf>
    <xf numFmtId="4" fontId="23" fillId="39" borderId="12" xfId="0" applyNumberFormat="1" applyFont="1" applyFill="1" applyBorder="1" applyAlignment="1" applyProtection="1">
      <alignment horizontal="left" vertical="center" wrapText="1" indent="1"/>
      <protection locked="0"/>
    </xf>
    <xf numFmtId="49" fontId="23" fillId="36" borderId="17" xfId="0" applyNumberFormat="1" applyFont="1" applyFill="1" applyBorder="1" applyAlignment="1" applyProtection="1">
      <alignment horizontal="left" vertical="center" wrapText="1" indent="6"/>
      <protection locked="0"/>
    </xf>
    <xf numFmtId="49" fontId="23" fillId="0" borderId="0" xfId="0" applyNumberFormat="1" applyFont="1" applyAlignment="1">
      <alignment vertical="center" wrapText="1"/>
    </xf>
    <xf numFmtId="49" fontId="48" fillId="0" borderId="12" xfId="0" applyNumberFormat="1" applyFont="1" applyBorder="1" applyAlignment="1">
      <alignment horizontal="center" vertical="center" wrapText="1"/>
    </xf>
    <xf numFmtId="49" fontId="23" fillId="0" borderId="12" xfId="0" applyNumberFormat="1" applyFont="1" applyBorder="1" applyAlignment="1">
      <alignment horizontal="left" vertical="center" wrapText="1"/>
    </xf>
    <xf numFmtId="0" fontId="23" fillId="35" borderId="29" xfId="0" applyFont="1" applyFill="1" applyBorder="1" applyAlignment="1">
      <alignment horizontal="center" vertical="center" wrapText="1"/>
    </xf>
    <xf numFmtId="0" fontId="47" fillId="0" borderId="0" xfId="0" applyFont="1" applyAlignment="1">
      <alignment horizontal="center" vertical="center" wrapText="1"/>
    </xf>
    <xf numFmtId="0" fontId="23" fillId="0" borderId="0" xfId="0" applyFont="1" applyAlignment="1">
      <alignment horizontal="right" vertical="center" wrapText="1"/>
    </xf>
    <xf numFmtId="0" fontId="23" fillId="0" borderId="0" xfId="0" applyFont="1" applyAlignment="1">
      <alignment horizontal="left" vertical="center"/>
    </xf>
    <xf numFmtId="49" fontId="23" fillId="0" borderId="0" xfId="0" applyNumberFormat="1" applyFont="1" applyAlignment="1">
      <alignment horizontal="left" vertical="center"/>
    </xf>
    <xf numFmtId="0" fontId="23" fillId="0" borderId="0" xfId="0" applyFont="1" applyAlignment="1">
      <alignment horizontal="left" vertical="center"/>
    </xf>
    <xf numFmtId="0" fontId="23" fillId="0" borderId="0" xfId="0" applyFont="1" applyAlignment="1">
      <alignment horizontal="left" vertical="center" indent="1"/>
    </xf>
    <xf numFmtId="49" fontId="23" fillId="0" borderId="0" xfId="0" applyNumberFormat="1" applyFont="1" applyAlignment="1">
      <alignment horizontal="left" vertical="center"/>
    </xf>
    <xf numFmtId="0" fontId="0" fillId="0" borderId="12" xfId="0" applyFont="1" applyBorder="1" applyAlignment="1">
      <alignment horizontal="center" vertical="center" wrapText="1"/>
    </xf>
    <xf numFmtId="49" fontId="0" fillId="39" borderId="12" xfId="0" applyNumberFormat="1" applyFont="1" applyFill="1" applyBorder="1" applyAlignment="1" applyProtection="1">
      <alignment horizontal="left" vertical="center" wrapText="1"/>
      <protection locked="0"/>
    </xf>
    <xf numFmtId="49" fontId="23" fillId="35" borderId="0" xfId="0" applyNumberFormat="1" applyFont="1" applyFill="1" applyAlignment="1">
      <alignment vertical="center" wrapText="1"/>
    </xf>
    <xf numFmtId="0" fontId="81" fillId="35" borderId="19" xfId="0" applyFont="1" applyFill="1" applyBorder="1" applyAlignment="1">
      <alignment horizontal="center" vertical="center" wrapText="1"/>
    </xf>
    <xf numFmtId="0" fontId="47" fillId="0" borderId="0" xfId="0" applyFont="1" applyAlignment="1">
      <alignment horizontal="center" vertical="center" wrapText="1"/>
    </xf>
    <xf numFmtId="49" fontId="23" fillId="0" borderId="0" xfId="0" applyNumberFormat="1" applyFont="1" applyAlignment="1">
      <alignment vertical="center" wrapText="1"/>
    </xf>
    <xf numFmtId="49" fontId="23" fillId="36" borderId="12" xfId="0" applyNumberFormat="1" applyFont="1" applyFill="1" applyBorder="1" applyAlignment="1" applyProtection="1">
      <alignment horizontal="left" vertical="center" indent="1"/>
      <protection locked="0"/>
    </xf>
    <xf numFmtId="49" fontId="23" fillId="35" borderId="12" xfId="73" applyNumberFormat="1" applyFont="1" applyFill="1" applyBorder="1" applyAlignment="1">
      <alignment horizontal="center" vertical="center" wrapText="1"/>
      <protection/>
    </xf>
    <xf numFmtId="14" fontId="23" fillId="39" borderId="14" xfId="0" applyNumberFormat="1" applyFont="1" applyFill="1" applyBorder="1" applyAlignment="1" applyProtection="1">
      <alignment horizontal="left" vertical="center" wrapText="1" indent="1"/>
      <protection locked="0"/>
    </xf>
    <xf numFmtId="0" fontId="47" fillId="0" borderId="36" xfId="0" applyFont="1" applyBorder="1" applyAlignment="1">
      <alignment horizontal="left" vertical="center" wrapText="1" indent="1"/>
    </xf>
    <xf numFmtId="49" fontId="106" fillId="37" borderId="42" xfId="0" applyNumberFormat="1" applyFont="1" applyFill="1" applyBorder="1" applyAlignment="1">
      <alignment horizontal="left" vertical="center" indent="1"/>
    </xf>
    <xf numFmtId="14" fontId="23" fillId="40" borderId="22" xfId="0" applyNumberFormat="1" applyFont="1" applyFill="1" applyBorder="1" applyAlignment="1">
      <alignment horizontal="left" vertical="center" wrapText="1" indent="1"/>
    </xf>
    <xf numFmtId="0" fontId="23" fillId="0" borderId="22" xfId="0" applyFont="1" applyBorder="1" applyAlignment="1">
      <alignment vertical="center" wrapText="1"/>
    </xf>
    <xf numFmtId="0" fontId="0" fillId="0" borderId="13" xfId="0" applyFont="1" applyBorder="1" applyAlignment="1">
      <alignment horizontal="center" vertical="center" wrapText="1"/>
    </xf>
    <xf numFmtId="49" fontId="23" fillId="40" borderId="12" xfId="0" applyNumberFormat="1" applyFont="1" applyFill="1" applyBorder="1" applyAlignment="1">
      <alignment horizontal="center" vertical="center" wrapText="1"/>
    </xf>
    <xf numFmtId="0" fontId="23" fillId="0" borderId="12" xfId="0" applyFont="1" applyBorder="1" applyAlignment="1">
      <alignment horizontal="center" vertical="center" wrapText="1"/>
    </xf>
    <xf numFmtId="179" fontId="0" fillId="39" borderId="12" xfId="0" applyNumberFormat="1" applyFont="1" applyFill="1" applyBorder="1" applyAlignment="1" applyProtection="1">
      <alignment horizontal="center" vertical="center" wrapText="1"/>
      <protection locked="0"/>
    </xf>
    <xf numFmtId="0" fontId="23" fillId="35" borderId="17" xfId="0" applyFont="1" applyFill="1" applyBorder="1" applyAlignment="1">
      <alignment horizontal="left" vertical="center" wrapText="1"/>
    </xf>
    <xf numFmtId="49" fontId="23" fillId="39" borderId="17" xfId="0" applyNumberFormat="1" applyFont="1" applyFill="1" applyBorder="1" applyAlignment="1" applyProtection="1">
      <alignment horizontal="left" vertical="center" wrapText="1" indent="6"/>
      <protection locked="0"/>
    </xf>
    <xf numFmtId="0" fontId="48" fillId="0" borderId="24" xfId="0" applyFont="1" applyBorder="1" applyAlignment="1">
      <alignment horizontal="center" vertical="top" wrapText="1"/>
    </xf>
    <xf numFmtId="49" fontId="23" fillId="36" borderId="17" xfId="0" applyNumberFormat="1" applyFont="1" applyFill="1" applyBorder="1" applyAlignment="1" applyProtection="1">
      <alignment horizontal="left" vertical="center" wrapText="1" indent="6"/>
      <protection locked="0"/>
    </xf>
    <xf numFmtId="4" fontId="23" fillId="39" borderId="12" xfId="0" applyNumberFormat="1" applyFont="1" applyFill="1" applyBorder="1" applyAlignment="1" applyProtection="1">
      <alignment horizontal="left" vertical="center" wrapText="1" indent="1"/>
      <protection locked="0"/>
    </xf>
    <xf numFmtId="49" fontId="23" fillId="0" borderId="19" xfId="0" applyNumberFormat="1" applyFont="1" applyBorder="1" applyAlignment="1">
      <alignment horizontal="center" vertical="center" wrapText="1"/>
    </xf>
    <xf numFmtId="49" fontId="23" fillId="0" borderId="0" xfId="0" applyNumberFormat="1" applyFont="1" applyAlignment="1">
      <alignment horizontal="center" vertical="center" wrapText="1"/>
    </xf>
    <xf numFmtId="49" fontId="0" fillId="0" borderId="19" xfId="0" applyNumberFormat="1" applyFont="1" applyBorder="1" applyAlignment="1">
      <alignment horizontal="left" vertical="center" wrapText="1"/>
    </xf>
    <xf numFmtId="0" fontId="40" fillId="0" borderId="27" xfId="0" applyFont="1" applyBorder="1" applyAlignment="1">
      <alignment horizontal="left" vertical="center"/>
    </xf>
    <xf numFmtId="0" fontId="40" fillId="0" borderId="29" xfId="0" applyFont="1" applyBorder="1" applyAlignment="1">
      <alignment horizontal="left" vertical="center"/>
    </xf>
    <xf numFmtId="0" fontId="40" fillId="0" borderId="0" xfId="0" applyFont="1" applyAlignment="1">
      <alignment horizontal="left" vertical="center"/>
    </xf>
    <xf numFmtId="0" fontId="40" fillId="0" borderId="24" xfId="0" applyFont="1" applyBorder="1" applyAlignment="1">
      <alignment horizontal="left" vertical="center"/>
    </xf>
    <xf numFmtId="49" fontId="32" fillId="47" borderId="0" xfId="0" applyNumberFormat="1" applyFont="1" applyFill="1" applyAlignment="1">
      <alignment horizontal="center" vertical="center" wrapText="1"/>
    </xf>
    <xf numFmtId="0" fontId="48" fillId="0" borderId="0" xfId="0" applyFont="1" applyAlignment="1">
      <alignment horizontal="center" vertical="center" wrapText="1"/>
    </xf>
    <xf numFmtId="0" fontId="23" fillId="35" borderId="12" xfId="0" applyFont="1" applyFill="1" applyBorder="1" applyAlignment="1">
      <alignment horizontal="left" vertical="center" wrapText="1"/>
    </xf>
    <xf numFmtId="0" fontId="23" fillId="35" borderId="17" xfId="0" applyFont="1" applyFill="1" applyBorder="1" applyAlignment="1">
      <alignment horizontal="left" vertical="center" wrapText="1"/>
    </xf>
    <xf numFmtId="0" fontId="23" fillId="35" borderId="23" xfId="0" applyFont="1" applyFill="1" applyBorder="1" applyAlignment="1">
      <alignment horizontal="left" vertical="center" wrapText="1"/>
    </xf>
    <xf numFmtId="0" fontId="45" fillId="0" borderId="13" xfId="0" applyFont="1" applyBorder="1" applyAlignment="1">
      <alignment vertical="top" wrapText="1"/>
    </xf>
    <xf numFmtId="0" fontId="48" fillId="0" borderId="13" xfId="0" applyFont="1" applyBorder="1" applyAlignment="1">
      <alignment vertical="top" wrapText="1"/>
    </xf>
    <xf numFmtId="0" fontId="23" fillId="35" borderId="17" xfId="0" applyFont="1" applyFill="1" applyBorder="1" applyAlignment="1">
      <alignment horizontal="left" vertical="center" wrapText="1" indent="2"/>
    </xf>
    <xf numFmtId="0" fontId="23" fillId="0" borderId="17" xfId="0" applyFont="1" applyBorder="1" applyAlignment="1">
      <alignment horizontal="left" vertical="center" wrapText="1" indent="6"/>
    </xf>
    <xf numFmtId="0" fontId="23" fillId="40" borderId="23" xfId="0" applyFont="1" applyFill="1" applyBorder="1" applyAlignment="1">
      <alignment horizontal="left" vertical="center" wrapText="1" indent="6"/>
    </xf>
    <xf numFmtId="0" fontId="23" fillId="0" borderId="23" xfId="0" applyFont="1" applyBorder="1" applyAlignment="1">
      <alignment horizontal="left" vertical="center" wrapText="1" indent="6"/>
    </xf>
    <xf numFmtId="4" fontId="23" fillId="36" borderId="23" xfId="0" applyNumberFormat="1" applyFont="1" applyFill="1" applyBorder="1" applyAlignment="1" applyProtection="1">
      <alignment horizontal="right" vertical="center" wrapText="1"/>
      <protection locked="0"/>
    </xf>
    <xf numFmtId="177" fontId="23" fillId="36" borderId="23" xfId="0" applyNumberFormat="1" applyFont="1" applyFill="1" applyBorder="1" applyAlignment="1" applyProtection="1">
      <alignment horizontal="right" vertical="center" wrapText="1"/>
      <protection locked="0"/>
    </xf>
    <xf numFmtId="0" fontId="23" fillId="0" borderId="15" xfId="0" applyFont="1" applyBorder="1" applyAlignment="1">
      <alignment horizontal="center" vertical="center" wrapText="1"/>
    </xf>
    <xf numFmtId="0" fontId="23" fillId="0" borderId="13" xfId="0" applyFont="1" applyBorder="1" applyAlignment="1">
      <alignment horizontal="center" vertical="center" wrapText="1"/>
    </xf>
    <xf numFmtId="0" fontId="23" fillId="0" borderId="12" xfId="0" applyFont="1" applyBorder="1" applyAlignment="1">
      <alignment horizontal="center" vertical="center" wrapText="1"/>
    </xf>
    <xf numFmtId="49" fontId="23" fillId="0" borderId="0" xfId="0" applyNumberFormat="1" applyFont="1" applyAlignment="1">
      <alignment horizontal="center" vertical="center" wrapText="1"/>
    </xf>
    <xf numFmtId="0" fontId="23" fillId="0" borderId="12" xfId="0" applyFont="1" applyBorder="1" applyAlignment="1">
      <alignment horizontal="left" vertical="center" wrapText="1"/>
    </xf>
    <xf numFmtId="0" fontId="23" fillId="0" borderId="37" xfId="0" applyFont="1" applyBorder="1" applyAlignment="1">
      <alignment horizontal="center" vertical="center" wrapText="1"/>
    </xf>
    <xf numFmtId="49" fontId="0" fillId="35" borderId="12" xfId="0" applyNumberFormat="1" applyFont="1" applyFill="1" applyBorder="1" applyAlignment="1">
      <alignment horizontal="center" vertical="center" wrapText="1"/>
    </xf>
    <xf numFmtId="0" fontId="23" fillId="35" borderId="12" xfId="0" applyFont="1" applyFill="1" applyBorder="1" applyAlignment="1">
      <alignment horizontal="center" vertical="center" wrapText="1"/>
    </xf>
    <xf numFmtId="0" fontId="0" fillId="0" borderId="12" xfId="0" applyFont="1" applyBorder="1" applyAlignment="1">
      <alignment horizontal="center" vertical="center" wrapText="1"/>
    </xf>
    <xf numFmtId="0" fontId="23" fillId="0" borderId="15" xfId="0" applyFont="1" applyBorder="1" applyAlignment="1">
      <alignment horizontal="right" vertical="center" wrapText="1" indent="1"/>
    </xf>
    <xf numFmtId="0" fontId="23" fillId="0" borderId="0" xfId="0" applyFont="1" applyAlignment="1">
      <alignment horizontal="left" vertical="top" wrapText="1"/>
    </xf>
    <xf numFmtId="0" fontId="23" fillId="34" borderId="14" xfId="0" applyFont="1" applyFill="1" applyBorder="1" applyAlignment="1">
      <alignment horizontal="left" vertical="top" wrapText="1"/>
    </xf>
    <xf numFmtId="49" fontId="23" fillId="0" borderId="0" xfId="0" applyNumberFormat="1" applyFont="1" applyAlignment="1">
      <alignment vertical="center" wrapText="1"/>
    </xf>
    <xf numFmtId="0" fontId="0" fillId="0" borderId="12" xfId="0" applyFont="1" applyBorder="1" applyAlignment="1">
      <alignment horizontal="left" vertical="center" wrapText="1"/>
    </xf>
    <xf numFmtId="49" fontId="23" fillId="0" borderId="12" xfId="0" applyNumberFormat="1" applyFont="1" applyBorder="1" applyAlignment="1">
      <alignment horizontal="center" vertical="center" wrapText="1"/>
    </xf>
    <xf numFmtId="0" fontId="23" fillId="0" borderId="12" xfId="0" applyFont="1" applyBorder="1" applyAlignment="1">
      <alignment horizontal="left" vertical="center" wrapText="1"/>
    </xf>
    <xf numFmtId="0" fontId="23" fillId="0" borderId="17" xfId="0" applyFont="1" applyBorder="1" applyAlignment="1">
      <alignment horizontal="left" vertical="center" wrapText="1"/>
    </xf>
    <xf numFmtId="49" fontId="95" fillId="0" borderId="43" xfId="0" applyNumberFormat="1" applyFont="1" applyBorder="1" applyAlignment="1">
      <alignment horizontal="center" vertical="center"/>
    </xf>
    <xf numFmtId="49" fontId="95" fillId="0" borderId="43" xfId="0" applyNumberFormat="1" applyFont="1" applyBorder="1" applyAlignment="1">
      <alignment horizontal="left" vertical="center" indent="1"/>
    </xf>
    <xf numFmtId="49" fontId="95" fillId="0" borderId="14" xfId="0" applyNumberFormat="1" applyFont="1" applyBorder="1" applyAlignment="1">
      <alignment horizontal="left" vertical="center" indent="1"/>
    </xf>
    <xf numFmtId="49" fontId="95" fillId="0" borderId="15" xfId="0" applyNumberFormat="1" applyFont="1" applyBorder="1" applyAlignment="1">
      <alignment horizontal="left" vertical="center" indent="1"/>
    </xf>
    <xf numFmtId="49" fontId="95" fillId="0" borderId="15" xfId="0" applyNumberFormat="1" applyFont="1" applyBorder="1" applyAlignment="1">
      <alignment vertical="top" wrapText="1"/>
    </xf>
    <xf numFmtId="49" fontId="95" fillId="0" borderId="13" xfId="0" applyNumberFormat="1" applyFont="1" applyBorder="1" applyAlignment="1">
      <alignment vertical="top" wrapText="1"/>
    </xf>
    <xf numFmtId="49" fontId="126" fillId="0" borderId="0" xfId="0" applyNumberFormat="1" applyFont="1" applyAlignment="1">
      <alignment horizontal="center" vertical="top" wrapText="1"/>
    </xf>
    <xf numFmtId="0" fontId="95" fillId="0" borderId="12" xfId="0" applyFont="1" applyBorder="1" applyAlignment="1">
      <alignment horizontal="center" vertical="center"/>
    </xf>
    <xf numFmtId="0" fontId="95" fillId="0" borderId="12" xfId="0" applyFont="1" applyBorder="1" applyAlignment="1">
      <alignment horizontal="left" vertical="center" wrapText="1" indent="1"/>
    </xf>
    <xf numFmtId="4" fontId="47" fillId="0" borderId="31" xfId="0" applyNumberFormat="1" applyFont="1" applyBorder="1" applyAlignment="1">
      <alignment horizontal="right" vertical="center" wrapText="1"/>
    </xf>
    <xf numFmtId="49" fontId="47" fillId="0" borderId="15" xfId="0" applyNumberFormat="1" applyFont="1" applyBorder="1" applyAlignment="1">
      <alignment horizontal="left" vertical="center" indent="1"/>
    </xf>
    <xf numFmtId="49" fontId="95" fillId="0" borderId="52" xfId="0" applyNumberFormat="1" applyFont="1" applyBorder="1" applyAlignment="1">
      <alignment vertical="top" wrapText="1"/>
    </xf>
    <xf numFmtId="49" fontId="95" fillId="0" borderId="52" xfId="0" applyNumberFormat="1" applyFont="1" applyBorder="1" applyAlignment="1">
      <alignment horizontal="left" vertical="center" indent="1"/>
    </xf>
    <xf numFmtId="49" fontId="0" fillId="40" borderId="36" xfId="0" applyNumberFormat="1" applyFont="1" applyFill="1" applyBorder="1" applyAlignment="1">
      <alignment horizontal="left" vertical="center" wrapText="1"/>
    </xf>
    <xf numFmtId="49" fontId="23" fillId="0" borderId="12" xfId="0" applyNumberFormat="1" applyFont="1" applyBorder="1" applyAlignment="1">
      <alignment horizontal="center" vertical="center" wrapText="1"/>
    </xf>
    <xf numFmtId="49" fontId="127" fillId="0" borderId="12" xfId="0" applyNumberFormat="1" applyFont="1" applyBorder="1" applyAlignment="1">
      <alignment horizontal="center" vertical="center" wrapText="1"/>
    </xf>
    <xf numFmtId="49" fontId="127" fillId="0" borderId="17" xfId="0" applyNumberFormat="1" applyFont="1" applyBorder="1" applyAlignment="1">
      <alignment horizontal="center" vertical="center" wrapText="1"/>
    </xf>
    <xf numFmtId="0" fontId="23" fillId="54" borderId="12" xfId="74" applyFont="1" applyFill="1" applyBorder="1" applyAlignment="1">
      <alignment vertical="center"/>
      <protection/>
    </xf>
    <xf numFmtId="0" fontId="47" fillId="55" borderId="12" xfId="0" applyFont="1" applyFill="1" applyBorder="1" applyAlignment="1">
      <alignment horizontal="left" vertical="center" wrapText="1"/>
    </xf>
    <xf numFmtId="0" fontId="92" fillId="0" borderId="0" xfId="0" applyFont="1" applyAlignment="1">
      <alignment horizontal="center" vertical="center" wrapText="1"/>
    </xf>
    <xf numFmtId="49" fontId="23" fillId="0" borderId="0" xfId="0" applyNumberFormat="1" applyFont="1" applyAlignment="1">
      <alignment vertical="center" wrapText="1"/>
    </xf>
    <xf numFmtId="49" fontId="0" fillId="7" borderId="12" xfId="0" applyNumberFormat="1" applyFont="1" applyFill="1" applyBorder="1" applyAlignment="1">
      <alignment horizontal="center" vertical="center" wrapText="1"/>
    </xf>
    <xf numFmtId="49" fontId="23" fillId="0" borderId="0" xfId="0" applyNumberFormat="1" applyFont="1" applyAlignment="1">
      <alignment vertical="center" wrapText="1"/>
    </xf>
    <xf numFmtId="49" fontId="0" fillId="7" borderId="12" xfId="0" applyNumberFormat="1" applyFont="1" applyFill="1" applyBorder="1" applyAlignment="1">
      <alignment horizontal="center" vertical="center" wrapText="1"/>
    </xf>
    <xf numFmtId="49" fontId="36" fillId="0" borderId="0" xfId="0" applyNumberFormat="1" applyFont="1" applyAlignment="1">
      <alignment horizontal="center" vertical="center" wrapText="1"/>
    </xf>
    <xf numFmtId="0" fontId="23" fillId="0" borderId="14" xfId="0" applyFont="1" applyBorder="1" applyAlignment="1">
      <alignment horizontal="center" vertical="center" wrapText="1"/>
    </xf>
    <xf numFmtId="0" fontId="23" fillId="0" borderId="12" xfId="0" applyFont="1" applyBorder="1" applyAlignment="1">
      <alignment horizontal="center" vertical="center" wrapText="1"/>
    </xf>
    <xf numFmtId="0" fontId="23" fillId="0" borderId="17" xfId="0" applyFont="1" applyBorder="1" applyAlignment="1">
      <alignment horizontal="center" vertical="center" wrapText="1"/>
    </xf>
    <xf numFmtId="0" fontId="23" fillId="0" borderId="17" xfId="0" applyFont="1" applyBorder="1" applyAlignment="1">
      <alignment horizontal="left" vertical="center" wrapText="1"/>
    </xf>
    <xf numFmtId="0" fontId="0" fillId="0" borderId="14" xfId="0" applyFont="1" applyBorder="1" applyAlignment="1">
      <alignment horizontal="center" vertical="center" wrapText="1"/>
    </xf>
    <xf numFmtId="0" fontId="0" fillId="0" borderId="12" xfId="0" applyFont="1" applyBorder="1" applyAlignment="1">
      <alignment horizontal="center" vertical="center" wrapText="1"/>
    </xf>
    <xf numFmtId="49" fontId="23" fillId="40" borderId="12" xfId="0" applyNumberFormat="1" applyFont="1" applyFill="1" applyBorder="1" applyAlignment="1">
      <alignment horizontal="left" vertical="center" wrapText="1" indent="1"/>
    </xf>
    <xf numFmtId="0" fontId="23" fillId="0" borderId="19" xfId="0" applyFont="1" applyBorder="1" applyAlignment="1">
      <alignment horizontal="right" vertical="center" wrapText="1" indent="1"/>
    </xf>
    <xf numFmtId="4" fontId="23" fillId="39" borderId="37" xfId="0" applyNumberFormat="1" applyFont="1" applyFill="1" applyBorder="1" applyAlignment="1" applyProtection="1">
      <alignment horizontal="right" vertical="center" wrapText="1"/>
      <protection locked="0"/>
    </xf>
    <xf numFmtId="3" fontId="23" fillId="39" borderId="14" xfId="0" applyNumberFormat="1" applyFont="1" applyFill="1" applyBorder="1" applyAlignment="1" applyProtection="1">
      <alignment horizontal="right" vertical="center" wrapText="1"/>
      <protection locked="0"/>
    </xf>
    <xf numFmtId="0" fontId="47" fillId="37" borderId="15" xfId="0" applyFont="1" applyFill="1" applyBorder="1" applyAlignment="1">
      <alignment vertical="center" wrapText="1"/>
    </xf>
    <xf numFmtId="0" fontId="23" fillId="0" borderId="12" xfId="0" applyFont="1" applyBorder="1" applyAlignment="1">
      <alignment horizontal="center" vertical="center" wrapText="1"/>
    </xf>
    <xf numFmtId="0" fontId="23" fillId="0" borderId="17" xfId="0" applyFont="1" applyBorder="1" applyAlignment="1">
      <alignment horizontal="center" vertical="center" wrapText="1"/>
    </xf>
    <xf numFmtId="0" fontId="23" fillId="0" borderId="14" xfId="0" applyFont="1" applyBorder="1" applyAlignment="1">
      <alignment horizontal="left" vertical="center" wrapText="1"/>
    </xf>
    <xf numFmtId="0" fontId="23" fillId="0" borderId="23" xfId="0" applyFont="1" applyBorder="1" applyAlignment="1">
      <alignment horizontal="center" vertical="center" wrapText="1"/>
    </xf>
    <xf numFmtId="0" fontId="23" fillId="0" borderId="14" xfId="0" applyFont="1" applyBorder="1" applyAlignment="1">
      <alignment horizontal="left" vertical="center" wrapText="1" indent="1"/>
    </xf>
    <xf numFmtId="0" fontId="23" fillId="0" borderId="14" xfId="0" applyFont="1" applyBorder="1" applyAlignment="1">
      <alignment horizontal="left" vertical="center" wrapText="1" indent="2"/>
    </xf>
    <xf numFmtId="0" fontId="103" fillId="0" borderId="0" xfId="0" applyFont="1" applyAlignment="1">
      <alignment vertical="center" wrapText="1"/>
    </xf>
    <xf numFmtId="0" fontId="103" fillId="0" borderId="0" xfId="0" applyFont="1" applyAlignment="1">
      <alignment vertical="center"/>
    </xf>
    <xf numFmtId="0" fontId="46" fillId="56" borderId="63" xfId="0" applyFont="1" applyFill="1" applyBorder="1" applyAlignment="1">
      <alignment horizontal="center" vertical="center" wrapText="1"/>
    </xf>
    <xf numFmtId="0" fontId="46" fillId="56" borderId="64" xfId="0" applyFont="1" applyFill="1" applyBorder="1" applyAlignment="1">
      <alignment horizontal="center" vertical="center" wrapText="1"/>
    </xf>
    <xf numFmtId="0" fontId="46" fillId="56" borderId="65" xfId="0" applyFont="1" applyFill="1" applyBorder="1" applyAlignment="1">
      <alignment horizontal="center" vertical="center" wrapText="1"/>
    </xf>
    <xf numFmtId="0" fontId="46" fillId="46" borderId="38" xfId="0" applyFont="1" applyFill="1" applyBorder="1" applyAlignment="1">
      <alignment horizontal="right" vertical="center" wrapText="1" indent="1"/>
    </xf>
    <xf numFmtId="0" fontId="46" fillId="46" borderId="66" xfId="0" applyFont="1" applyFill="1" applyBorder="1" applyAlignment="1">
      <alignment horizontal="right" vertical="center" wrapText="1" indent="1"/>
    </xf>
    <xf numFmtId="0" fontId="46" fillId="46" borderId="0" xfId="0" applyFont="1" applyFill="1" applyAlignment="1">
      <alignment horizontal="right" vertical="center" wrapText="1" indent="1"/>
    </xf>
    <xf numFmtId="0" fontId="121" fillId="0" borderId="38" xfId="0" applyFont="1" applyBorder="1" applyAlignment="1">
      <alignment vertical="center" wrapText="1"/>
    </xf>
    <xf numFmtId="0" fontId="121" fillId="0" borderId="0" xfId="0" applyFont="1" applyAlignment="1">
      <alignment vertical="center" wrapText="1"/>
    </xf>
    <xf numFmtId="0" fontId="121" fillId="0" borderId="38" xfId="0" applyFont="1" applyBorder="1" applyAlignment="1">
      <alignment horizontal="left" vertical="center" wrapText="1"/>
    </xf>
    <xf numFmtId="0" fontId="121" fillId="0" borderId="0" xfId="0" applyFont="1" applyAlignment="1">
      <alignment horizontal="left" vertical="center" wrapText="1"/>
    </xf>
    <xf numFmtId="0" fontId="46" fillId="46" borderId="60" xfId="0" applyFont="1" applyFill="1" applyBorder="1" applyAlignment="1">
      <alignment horizontal="right" vertical="center" wrapText="1" indent="1"/>
    </xf>
    <xf numFmtId="0" fontId="46" fillId="46" borderId="67" xfId="0" applyFont="1" applyFill="1" applyBorder="1" applyAlignment="1">
      <alignment horizontal="right" vertical="center" wrapText="1" indent="1"/>
    </xf>
    <xf numFmtId="0" fontId="46" fillId="46" borderId="62" xfId="0" applyFont="1" applyFill="1" applyBorder="1" applyAlignment="1">
      <alignment horizontal="right" vertical="center" wrapText="1" indent="1"/>
    </xf>
    <xf numFmtId="0" fontId="46" fillId="46" borderId="39" xfId="0" applyFont="1" applyFill="1" applyBorder="1" applyAlignment="1">
      <alignment horizontal="right" vertical="center" wrapText="1" indent="1"/>
    </xf>
    <xf numFmtId="0" fontId="121" fillId="0" borderId="0" xfId="0" applyFont="1" applyAlignment="1">
      <alignment vertical="top" wrapText="1"/>
    </xf>
    <xf numFmtId="49" fontId="67" fillId="0" borderId="0" xfId="0" applyNumberFormat="1" applyFont="1" applyAlignment="1">
      <alignment vertical="top" wrapText="1"/>
    </xf>
    <xf numFmtId="0" fontId="23" fillId="0" borderId="13" xfId="0" applyFont="1" applyBorder="1" applyAlignment="1">
      <alignment horizontal="center" vertical="center" wrapText="1"/>
    </xf>
    <xf numFmtId="0" fontId="23" fillId="0" borderId="14" xfId="0" applyFont="1" applyBorder="1" applyAlignment="1">
      <alignment horizontal="center" vertical="center" wrapText="1"/>
    </xf>
    <xf numFmtId="0" fontId="97" fillId="0" borderId="0" xfId="0" applyFont="1" applyAlignment="1">
      <alignment horizontal="left" vertical="center" wrapText="1"/>
    </xf>
    <xf numFmtId="14" fontId="94" fillId="0" borderId="12" xfId="0" applyNumberFormat="1" applyFont="1" applyBorder="1" applyAlignment="1">
      <alignment horizontal="center" vertical="center" wrapText="1"/>
    </xf>
    <xf numFmtId="0" fontId="23" fillId="0" borderId="0" xfId="0" applyFont="1" applyAlignment="1">
      <alignment horizontal="center" vertical="center" wrapText="1"/>
    </xf>
    <xf numFmtId="0" fontId="23" fillId="0" borderId="15" xfId="0" applyFont="1" applyBorder="1" applyAlignment="1">
      <alignment horizontal="left" vertical="center" wrapText="1" indent="1"/>
    </xf>
    <xf numFmtId="0" fontId="23" fillId="0" borderId="14" xfId="0" applyFont="1" applyBorder="1" applyAlignment="1">
      <alignment horizontal="center" vertical="center" wrapText="1"/>
    </xf>
    <xf numFmtId="0" fontId="23" fillId="0" borderId="15" xfId="0" applyFont="1" applyBorder="1" applyAlignment="1">
      <alignment horizontal="center" vertical="center" wrapText="1"/>
    </xf>
    <xf numFmtId="0" fontId="23" fillId="0" borderId="13" xfId="0" applyFont="1" applyBorder="1" applyAlignment="1">
      <alignment horizontal="center" vertical="center" wrapText="1"/>
    </xf>
    <xf numFmtId="4" fontId="23" fillId="0" borderId="12" xfId="0" applyNumberFormat="1" applyFont="1" applyBorder="1" applyAlignment="1">
      <alignment horizontal="center" vertical="center" wrapText="1"/>
    </xf>
    <xf numFmtId="0" fontId="23" fillId="40" borderId="17" xfId="0" applyFont="1" applyFill="1" applyBorder="1" applyAlignment="1">
      <alignment horizontal="left" vertical="center" wrapText="1" indent="1"/>
    </xf>
    <xf numFmtId="0" fontId="23" fillId="40" borderId="23" xfId="0" applyFont="1" applyFill="1" applyBorder="1" applyAlignment="1">
      <alignment horizontal="left" vertical="center" wrapText="1" indent="1"/>
    </xf>
    <xf numFmtId="49" fontId="23" fillId="40" borderId="12" xfId="0" applyNumberFormat="1" applyFont="1" applyFill="1" applyBorder="1" applyAlignment="1">
      <alignment horizontal="center" vertical="center" wrapText="1"/>
    </xf>
    <xf numFmtId="49" fontId="23" fillId="0" borderId="12" xfId="0" applyNumberFormat="1" applyFont="1" applyBorder="1" applyAlignment="1">
      <alignment horizontal="center" vertical="center" wrapText="1"/>
    </xf>
    <xf numFmtId="0" fontId="23" fillId="40" borderId="17" xfId="0" applyFont="1" applyFill="1" applyBorder="1" applyAlignment="1">
      <alignment horizontal="left" vertical="center" wrapText="1" indent="2"/>
    </xf>
    <xf numFmtId="0" fontId="23" fillId="40" borderId="36" xfId="0" applyFont="1" applyFill="1" applyBorder="1" applyAlignment="1">
      <alignment horizontal="left" vertical="center" wrapText="1" indent="2"/>
    </xf>
    <xf numFmtId="0" fontId="23" fillId="40" borderId="23" xfId="0" applyFont="1" applyFill="1" applyBorder="1" applyAlignment="1">
      <alignment horizontal="left" vertical="center" wrapText="1" indent="2"/>
    </xf>
    <xf numFmtId="49" fontId="23" fillId="40" borderId="23" xfId="0" applyNumberFormat="1" applyFont="1" applyFill="1" applyBorder="1" applyAlignment="1">
      <alignment horizontal="center" vertical="center" wrapText="1"/>
    </xf>
    <xf numFmtId="14" fontId="82" fillId="0" borderId="68" xfId="0" applyNumberFormat="1" applyFont="1" applyBorder="1" applyAlignment="1">
      <alignment horizontal="center" vertical="center" wrapText="1"/>
    </xf>
    <xf numFmtId="0" fontId="23" fillId="0" borderId="68" xfId="0" applyFont="1" applyBorder="1" applyAlignment="1">
      <alignment horizontal="center" vertical="center" wrapText="1"/>
    </xf>
    <xf numFmtId="49" fontId="36" fillId="0" borderId="69" xfId="0" applyNumberFormat="1" applyFont="1" applyBorder="1" applyAlignment="1">
      <alignment horizontal="center" vertical="center" wrapText="1"/>
    </xf>
    <xf numFmtId="49" fontId="36" fillId="0" borderId="70" xfId="0" applyNumberFormat="1" applyFont="1" applyBorder="1" applyAlignment="1">
      <alignment horizontal="center" vertical="center" wrapText="1"/>
    </xf>
    <xf numFmtId="49" fontId="36" fillId="0" borderId="14" xfId="0" applyNumberFormat="1" applyFont="1" applyBorder="1" applyAlignment="1">
      <alignment horizontal="center" vertical="center" wrapText="1"/>
    </xf>
    <xf numFmtId="49" fontId="36" fillId="0" borderId="13" xfId="0" applyNumberFormat="1" applyFont="1" applyBorder="1" applyAlignment="1">
      <alignment horizontal="center" vertical="center" wrapText="1"/>
    </xf>
    <xf numFmtId="0" fontId="23" fillId="0" borderId="20" xfId="0" applyFont="1" applyBorder="1" applyAlignment="1">
      <alignment horizontal="left" vertical="center" wrapText="1" indent="1"/>
    </xf>
    <xf numFmtId="0" fontId="23" fillId="0" borderId="17" xfId="0" applyFont="1" applyBorder="1" applyAlignment="1">
      <alignment horizontal="left" vertical="center" wrapText="1" indent="1"/>
    </xf>
    <xf numFmtId="0" fontId="23" fillId="0" borderId="37" xfId="0" applyFont="1" applyBorder="1" applyAlignment="1">
      <alignment horizontal="left" vertical="center" wrapText="1" indent="1"/>
    </xf>
    <xf numFmtId="0" fontId="23" fillId="0" borderId="29" xfId="0" applyFont="1" applyBorder="1" applyAlignment="1">
      <alignment horizontal="left" vertical="center" indent="1"/>
    </xf>
    <xf numFmtId="0" fontId="23" fillId="0" borderId="23" xfId="0" applyFont="1" applyBorder="1" applyAlignment="1">
      <alignment horizontal="left" vertical="center" indent="1"/>
    </xf>
    <xf numFmtId="0" fontId="23" fillId="0" borderId="30" xfId="0" applyFont="1" applyBorder="1" applyAlignment="1">
      <alignment horizontal="left" vertical="center" indent="1"/>
    </xf>
    <xf numFmtId="0" fontId="23" fillId="0" borderId="0" xfId="0" applyFont="1" applyAlignment="1">
      <alignment horizontal="center" vertical="center" wrapText="1"/>
    </xf>
    <xf numFmtId="0" fontId="23" fillId="42" borderId="0" xfId="0" applyFont="1" applyFill="1" applyAlignment="1">
      <alignment horizontal="center" vertical="center" wrapText="1"/>
    </xf>
    <xf numFmtId="0" fontId="23" fillId="0" borderId="12" xfId="0" applyFont="1" applyBorder="1" applyAlignment="1">
      <alignment horizontal="center" vertical="center" wrapText="1"/>
    </xf>
    <xf numFmtId="0" fontId="76" fillId="0" borderId="37" xfId="0" applyFont="1" applyBorder="1" applyAlignment="1">
      <alignment horizontal="center" vertical="center" wrapText="1"/>
    </xf>
    <xf numFmtId="0" fontId="76" fillId="0" borderId="19" xfId="0" applyFont="1" applyBorder="1" applyAlignment="1">
      <alignment horizontal="center" vertical="center" wrapText="1"/>
    </xf>
    <xf numFmtId="0" fontId="0" fillId="0" borderId="0" xfId="0" applyFont="1" applyAlignment="1">
      <alignment horizontal="left" vertical="center" wrapText="1" indent="2"/>
    </xf>
    <xf numFmtId="0" fontId="0" fillId="0" borderId="0" xfId="0" applyFont="1" applyAlignment="1">
      <alignment horizontal="left" vertical="center" indent="2"/>
    </xf>
    <xf numFmtId="0" fontId="76" fillId="0" borderId="12" xfId="0" applyFont="1" applyBorder="1" applyAlignment="1">
      <alignment horizontal="center" vertical="center" wrapText="1"/>
    </xf>
    <xf numFmtId="0" fontId="23" fillId="0" borderId="71" xfId="0" applyFont="1" applyBorder="1" applyAlignment="1">
      <alignment horizontal="center" vertical="center" wrapText="1"/>
    </xf>
    <xf numFmtId="0" fontId="23" fillId="0" borderId="72" xfId="0" applyFont="1" applyBorder="1" applyAlignment="1">
      <alignment horizontal="center" vertical="center" wrapText="1"/>
    </xf>
    <xf numFmtId="0" fontId="0" fillId="0" borderId="12" xfId="0" applyFont="1" applyBorder="1" applyAlignment="1">
      <alignment horizontal="center" vertical="top"/>
    </xf>
    <xf numFmtId="49" fontId="0" fillId="0" borderId="12" xfId="0" applyNumberFormat="1" applyFont="1" applyBorder="1" applyAlignment="1">
      <alignment vertical="top"/>
    </xf>
    <xf numFmtId="49" fontId="23" fillId="0" borderId="19" xfId="0" applyNumberFormat="1" applyFont="1" applyBorder="1" applyAlignment="1">
      <alignment horizontal="center" vertical="center" wrapText="1"/>
    </xf>
    <xf numFmtId="49" fontId="23" fillId="0" borderId="0" xfId="0" applyNumberFormat="1" applyFont="1" applyAlignment="1">
      <alignment horizontal="center" vertical="center" wrapText="1"/>
    </xf>
    <xf numFmtId="0" fontId="0" fillId="0" borderId="19" xfId="0" applyFont="1" applyBorder="1" applyAlignment="1">
      <alignment horizontal="left" vertical="center" wrapText="1"/>
    </xf>
    <xf numFmtId="0" fontId="0" fillId="0" borderId="0" xfId="0" applyFont="1" applyAlignment="1">
      <alignment horizontal="left" vertical="center" wrapText="1"/>
    </xf>
    <xf numFmtId="49" fontId="0" fillId="0" borderId="0" xfId="0" applyNumberFormat="1" applyFont="1" applyAlignment="1">
      <alignment horizontal="left" vertical="center" wrapText="1"/>
    </xf>
    <xf numFmtId="49" fontId="0" fillId="0" borderId="19" xfId="0" applyNumberFormat="1" applyFont="1" applyBorder="1" applyAlignment="1">
      <alignment horizontal="left" vertical="center" wrapText="1"/>
    </xf>
    <xf numFmtId="0" fontId="23" fillId="0" borderId="12" xfId="0" applyFont="1" applyBorder="1" applyAlignment="1">
      <alignment horizontal="left" vertical="top" wrapText="1"/>
    </xf>
    <xf numFmtId="49" fontId="0" fillId="0" borderId="12" xfId="0" applyNumberFormat="1" applyFont="1" applyBorder="1" applyAlignment="1">
      <alignment horizontal="left" vertical="top"/>
    </xf>
    <xf numFmtId="0" fontId="23" fillId="40" borderId="17" xfId="0" applyFont="1" applyFill="1" applyBorder="1" applyAlignment="1">
      <alignment horizontal="center" vertical="top" wrapText="1"/>
    </xf>
    <xf numFmtId="0" fontId="23" fillId="40" borderId="36" xfId="0" applyFont="1" applyFill="1" applyBorder="1" applyAlignment="1">
      <alignment horizontal="center" vertical="top" wrapText="1"/>
    </xf>
    <xf numFmtId="0" fontId="23" fillId="40" borderId="23" xfId="0" applyFont="1" applyFill="1" applyBorder="1" applyAlignment="1">
      <alignment horizontal="center" vertical="top" wrapText="1"/>
    </xf>
    <xf numFmtId="0" fontId="0" fillId="0" borderId="37" xfId="0" applyFont="1" applyBorder="1" applyAlignment="1">
      <alignment horizontal="center" vertical="center"/>
    </xf>
    <xf numFmtId="0" fontId="0" fillId="0" borderId="22" xfId="0" applyFont="1" applyBorder="1" applyAlignment="1">
      <alignment horizontal="center" vertical="center"/>
    </xf>
    <xf numFmtId="0" fontId="0" fillId="0" borderId="19" xfId="0" applyFont="1" applyBorder="1" applyAlignment="1">
      <alignment horizontal="center" vertical="center"/>
    </xf>
    <xf numFmtId="0" fontId="0" fillId="0" borderId="0" xfId="0" applyFont="1" applyAlignment="1">
      <alignment horizontal="center" vertical="center"/>
    </xf>
    <xf numFmtId="49" fontId="23" fillId="0" borderId="19" xfId="0" applyNumberFormat="1" applyFont="1" applyBorder="1" applyAlignment="1">
      <alignment horizontal="left" vertical="center" wrapText="1"/>
    </xf>
    <xf numFmtId="49" fontId="23" fillId="0" borderId="0" xfId="0" applyNumberFormat="1" applyFont="1" applyAlignment="1">
      <alignment horizontal="left" vertical="center" wrapText="1"/>
    </xf>
    <xf numFmtId="49" fontId="0" fillId="0" borderId="0" xfId="0" applyNumberFormat="1" applyFont="1" applyAlignment="1">
      <alignment horizontal="left" vertical="top"/>
    </xf>
    <xf numFmtId="0" fontId="0" fillId="0" borderId="12" xfId="0" applyFont="1" applyBorder="1" applyAlignment="1">
      <alignment horizontal="center" vertical="center" wrapText="1"/>
    </xf>
    <xf numFmtId="49" fontId="48" fillId="35" borderId="27" xfId="0" applyNumberFormat="1" applyFont="1" applyFill="1" applyBorder="1" applyAlignment="1">
      <alignment horizontal="center" vertical="center" wrapText="1"/>
    </xf>
    <xf numFmtId="0" fontId="23" fillId="0" borderId="20" xfId="0" applyFont="1" applyBorder="1" applyAlignment="1">
      <alignment horizontal="left" vertical="top" wrapText="1" indent="1"/>
    </xf>
    <xf numFmtId="0" fontId="23" fillId="0" borderId="17" xfId="0" applyFont="1" applyBorder="1" applyAlignment="1">
      <alignment horizontal="left" vertical="top" wrapText="1" indent="1"/>
    </xf>
    <xf numFmtId="0" fontId="23" fillId="0" borderId="37" xfId="0" applyFont="1" applyBorder="1" applyAlignment="1">
      <alignment horizontal="left" vertical="top" wrapText="1" indent="1"/>
    </xf>
    <xf numFmtId="0" fontId="73" fillId="0" borderId="24" xfId="0" applyFont="1" applyBorder="1" applyAlignment="1">
      <alignment horizontal="left" vertical="center" wrapText="1" indent="1"/>
    </xf>
    <xf numFmtId="0" fontId="73" fillId="0" borderId="36" xfId="0" applyFont="1" applyBorder="1" applyAlignment="1">
      <alignment horizontal="left" vertical="center" wrapText="1" indent="1"/>
    </xf>
    <xf numFmtId="0" fontId="73" fillId="0" borderId="22" xfId="0" applyFont="1" applyBorder="1" applyAlignment="1">
      <alignment horizontal="left" vertical="center" wrapText="1" indent="1"/>
    </xf>
    <xf numFmtId="0" fontId="23" fillId="0" borderId="27" xfId="0" applyFont="1" applyBorder="1" applyAlignment="1">
      <alignment horizontal="left" vertical="center" indent="1"/>
    </xf>
    <xf numFmtId="0" fontId="23" fillId="39" borderId="12" xfId="0" applyFont="1" applyFill="1" applyBorder="1" applyAlignment="1" applyProtection="1">
      <alignment horizontal="left" vertical="top" wrapText="1"/>
      <protection locked="0"/>
    </xf>
    <xf numFmtId="0" fontId="0" fillId="39" borderId="12" xfId="0" applyFont="1" applyFill="1" applyBorder="1" applyAlignment="1" applyProtection="1">
      <alignment horizontal="left" vertical="top"/>
      <protection locked="0"/>
    </xf>
    <xf numFmtId="0" fontId="0" fillId="0" borderId="17" xfId="0" applyFont="1" applyBorder="1" applyAlignment="1">
      <alignment horizontal="center" vertical="top"/>
    </xf>
    <xf numFmtId="0" fontId="0" fillId="0" borderId="36" xfId="0" applyFont="1" applyBorder="1" applyAlignment="1">
      <alignment horizontal="center" vertical="top"/>
    </xf>
    <xf numFmtId="0" fontId="0" fillId="0" borderId="23" xfId="0" applyFont="1" applyBorder="1" applyAlignment="1">
      <alignment horizontal="center" vertical="top"/>
    </xf>
    <xf numFmtId="0" fontId="23" fillId="0" borderId="17" xfId="0" applyFont="1" applyBorder="1" applyAlignment="1">
      <alignment horizontal="left" vertical="top" wrapText="1"/>
    </xf>
    <xf numFmtId="0" fontId="23" fillId="0" borderId="36" xfId="0" applyFont="1" applyBorder="1" applyAlignment="1">
      <alignment horizontal="left" vertical="top" wrapText="1"/>
    </xf>
    <xf numFmtId="0" fontId="23" fillId="0" borderId="23" xfId="0" applyFont="1" applyBorder="1" applyAlignment="1">
      <alignment horizontal="left" vertical="top" wrapText="1"/>
    </xf>
    <xf numFmtId="0" fontId="0" fillId="0" borderId="0" xfId="0" applyFont="1" applyAlignment="1" quotePrefix="1">
      <alignment horizontal="left" vertical="top" wrapText="1" indent="1"/>
    </xf>
    <xf numFmtId="0" fontId="0" fillId="0" borderId="0" xfId="0" applyFont="1" applyAlignment="1">
      <alignment horizontal="left" vertical="top" wrapText="1" indent="1"/>
    </xf>
    <xf numFmtId="0" fontId="0" fillId="0" borderId="0" xfId="0" applyFont="1" applyAlignment="1">
      <alignment horizontal="left" vertical="top" wrapText="1"/>
    </xf>
    <xf numFmtId="0" fontId="23" fillId="0" borderId="17" xfId="0" applyFont="1" applyBorder="1" applyAlignment="1">
      <alignment horizontal="center" vertical="center" wrapText="1"/>
    </xf>
    <xf numFmtId="0" fontId="23" fillId="0" borderId="27" xfId="0" applyFont="1" applyBorder="1" applyAlignment="1">
      <alignment horizontal="left" vertical="center" wrapText="1" indent="1"/>
    </xf>
    <xf numFmtId="0" fontId="40" fillId="0" borderId="0" xfId="0" applyFont="1" applyAlignment="1">
      <alignment horizontal="left" vertical="center"/>
    </xf>
    <xf numFmtId="0" fontId="40" fillId="0" borderId="24" xfId="0" applyFont="1" applyBorder="1" applyAlignment="1">
      <alignment horizontal="left" vertical="center"/>
    </xf>
    <xf numFmtId="0" fontId="23" fillId="0" borderId="12" xfId="0" applyFont="1" applyBorder="1" applyAlignment="1">
      <alignment horizontal="left" vertical="center" wrapText="1"/>
    </xf>
    <xf numFmtId="0" fontId="23" fillId="0" borderId="37" xfId="0" applyFont="1" applyBorder="1" applyAlignment="1">
      <alignment horizontal="left" vertical="center" wrapText="1"/>
    </xf>
    <xf numFmtId="0" fontId="23" fillId="0" borderId="19" xfId="0" applyFont="1" applyBorder="1" applyAlignment="1">
      <alignment horizontal="center" vertical="center"/>
    </xf>
    <xf numFmtId="0" fontId="23" fillId="0" borderId="0" xfId="0" applyFont="1" applyAlignment="1">
      <alignment horizontal="center" vertical="center"/>
    </xf>
    <xf numFmtId="49" fontId="23" fillId="0" borderId="12" xfId="0" applyNumberFormat="1" applyFont="1" applyBorder="1" applyAlignment="1">
      <alignment horizontal="center" vertical="center"/>
    </xf>
    <xf numFmtId="0" fontId="23" fillId="0" borderId="14" xfId="0" applyFont="1" applyBorder="1" applyAlignment="1">
      <alignment horizontal="left" vertical="center" wrapText="1"/>
    </xf>
    <xf numFmtId="49" fontId="23" fillId="40" borderId="17" xfId="0" applyNumberFormat="1" applyFont="1" applyFill="1" applyBorder="1" applyAlignment="1">
      <alignment horizontal="center" vertical="center" wrapText="1"/>
    </xf>
    <xf numFmtId="49" fontId="23" fillId="40" borderId="36" xfId="0" applyNumberFormat="1" applyFont="1" applyFill="1" applyBorder="1" applyAlignment="1">
      <alignment horizontal="center" vertical="center" wrapText="1"/>
    </xf>
    <xf numFmtId="0" fontId="40" fillId="0" borderId="27" xfId="0" applyFont="1" applyBorder="1" applyAlignment="1">
      <alignment horizontal="left" vertical="center"/>
    </xf>
    <xf numFmtId="0" fontId="40" fillId="0" borderId="29" xfId="0" applyFont="1" applyBorder="1" applyAlignment="1">
      <alignment horizontal="left" vertical="center"/>
    </xf>
    <xf numFmtId="49" fontId="23" fillId="0" borderId="17" xfId="0" applyNumberFormat="1" applyFont="1" applyBorder="1" applyAlignment="1">
      <alignment horizontal="center" vertical="center"/>
    </xf>
    <xf numFmtId="0" fontId="23" fillId="0" borderId="17" xfId="0" applyFont="1" applyBorder="1" applyAlignment="1">
      <alignment horizontal="left" vertical="center" wrapText="1"/>
    </xf>
    <xf numFmtId="0" fontId="23" fillId="0" borderId="19" xfId="0" applyFont="1" applyBorder="1" applyAlignment="1">
      <alignment horizontal="left" vertical="center" wrapText="1" indent="1"/>
    </xf>
    <xf numFmtId="0" fontId="23" fillId="0" borderId="37" xfId="0" applyFont="1" applyBorder="1" applyAlignment="1">
      <alignment horizontal="center" vertical="center" wrapText="1"/>
    </xf>
    <xf numFmtId="0" fontId="23" fillId="0" borderId="20" xfId="0" applyFont="1" applyBorder="1" applyAlignment="1">
      <alignment horizontal="center" vertical="center" wrapText="1"/>
    </xf>
    <xf numFmtId="0" fontId="23" fillId="0" borderId="22" xfId="0" applyFont="1" applyBorder="1" applyAlignment="1">
      <alignment horizontal="center" vertical="center" wrapText="1"/>
    </xf>
    <xf numFmtId="0" fontId="23" fillId="0" borderId="24" xfId="0" applyFont="1" applyBorder="1" applyAlignment="1">
      <alignment horizontal="center" vertical="center" wrapText="1"/>
    </xf>
    <xf numFmtId="0" fontId="23" fillId="0" borderId="17" xfId="0" applyFont="1" applyBorder="1" applyAlignment="1">
      <alignment horizontal="center" vertical="center" wrapText="1"/>
    </xf>
    <xf numFmtId="0" fontId="23" fillId="0" borderId="15" xfId="0" applyFont="1" applyBorder="1" applyAlignment="1">
      <alignment horizontal="center" vertical="center" wrapText="1"/>
    </xf>
    <xf numFmtId="0" fontId="23" fillId="0" borderId="12" xfId="0" applyFont="1" applyBorder="1" applyAlignment="1">
      <alignment horizontal="center" vertical="center" wrapText="1"/>
    </xf>
    <xf numFmtId="0" fontId="23" fillId="0" borderId="36" xfId="0" applyFont="1" applyBorder="1" applyAlignment="1">
      <alignment horizontal="center" vertical="center" wrapText="1"/>
    </xf>
    <xf numFmtId="0" fontId="23" fillId="0" borderId="30" xfId="0" applyFont="1" applyBorder="1" applyAlignment="1">
      <alignment horizontal="center" vertical="center" wrapText="1"/>
    </xf>
    <xf numFmtId="0" fontId="23" fillId="0" borderId="29" xfId="0" applyFont="1" applyBorder="1" applyAlignment="1">
      <alignment horizontal="center" vertical="center" wrapText="1"/>
    </xf>
    <xf numFmtId="49" fontId="23" fillId="35" borderId="0" xfId="0" applyNumberFormat="1" applyFont="1" applyFill="1" applyAlignment="1">
      <alignment horizontal="center" vertical="center" wrapText="1"/>
    </xf>
    <xf numFmtId="0" fontId="45" fillId="0" borderId="0" xfId="0" applyFont="1" applyAlignment="1">
      <alignment horizontal="right" vertical="top" wrapText="1"/>
    </xf>
    <xf numFmtId="49" fontId="0" fillId="35" borderId="12" xfId="0" applyNumberFormat="1" applyFont="1" applyFill="1" applyBorder="1" applyAlignment="1">
      <alignment horizontal="center" vertical="center" wrapText="1"/>
    </xf>
    <xf numFmtId="49" fontId="23" fillId="35" borderId="12" xfId="0" applyNumberFormat="1" applyFont="1" applyFill="1" applyBorder="1" applyAlignment="1">
      <alignment horizontal="center" vertical="center" wrapText="1"/>
    </xf>
    <xf numFmtId="0" fontId="45" fillId="0" borderId="0" xfId="0" applyFont="1" applyAlignment="1">
      <alignment horizontal="left" vertical="top" wrapText="1" indent="1"/>
    </xf>
    <xf numFmtId="0" fontId="94" fillId="35" borderId="0" xfId="0" applyFont="1" applyFill="1" applyAlignment="1">
      <alignment horizontal="left" vertical="center" wrapText="1"/>
    </xf>
    <xf numFmtId="0" fontId="0" fillId="35" borderId="12" xfId="0" applyFont="1" applyFill="1" applyBorder="1" applyAlignment="1">
      <alignment horizontal="center" vertical="center" wrapText="1"/>
    </xf>
    <xf numFmtId="0" fontId="23" fillId="35" borderId="12" xfId="0" applyFont="1" applyFill="1" applyBorder="1" applyAlignment="1">
      <alignment horizontal="center" vertical="center" wrapText="1"/>
    </xf>
    <xf numFmtId="0" fontId="23" fillId="35" borderId="17" xfId="0" applyFont="1" applyFill="1" applyBorder="1" applyAlignment="1">
      <alignment horizontal="left" vertical="top" wrapText="1"/>
    </xf>
    <xf numFmtId="0" fontId="23" fillId="35" borderId="36" xfId="0" applyFont="1" applyFill="1" applyBorder="1" applyAlignment="1">
      <alignment horizontal="left" vertical="top" wrapText="1"/>
    </xf>
    <xf numFmtId="0" fontId="23" fillId="35" borderId="23" xfId="0" applyFont="1" applyFill="1" applyBorder="1" applyAlignment="1">
      <alignment horizontal="left" vertical="top" wrapText="1"/>
    </xf>
    <xf numFmtId="0" fontId="23" fillId="35" borderId="24" xfId="0" applyFont="1" applyFill="1" applyBorder="1" applyAlignment="1">
      <alignment horizontal="center" vertical="center" wrapText="1"/>
    </xf>
    <xf numFmtId="0" fontId="23" fillId="0" borderId="29" xfId="0" applyFont="1" applyBorder="1" applyAlignment="1">
      <alignment horizontal="left" vertical="center" wrapText="1" indent="1"/>
    </xf>
    <xf numFmtId="0" fontId="23" fillId="0" borderId="23" xfId="0" applyFont="1" applyBorder="1" applyAlignment="1">
      <alignment horizontal="left" vertical="center" wrapText="1" indent="1"/>
    </xf>
    <xf numFmtId="0" fontId="23" fillId="0" borderId="30" xfId="0" applyFont="1" applyBorder="1" applyAlignment="1">
      <alignment horizontal="left" vertical="center" wrapText="1" indent="1"/>
    </xf>
    <xf numFmtId="0" fontId="47" fillId="0" borderId="0" xfId="0" applyFont="1" applyAlignment="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0" borderId="13" xfId="0" applyFont="1" applyBorder="1" applyAlignment="1">
      <alignment horizontal="center" vertical="center" wrapText="1"/>
    </xf>
    <xf numFmtId="0" fontId="0" fillId="0" borderId="17" xfId="0" applyFont="1" applyBorder="1" applyAlignment="1">
      <alignment horizontal="left" vertical="top" wrapText="1"/>
    </xf>
    <xf numFmtId="0" fontId="0" fillId="0" borderId="23" xfId="0" applyFont="1" applyBorder="1" applyAlignment="1">
      <alignment horizontal="left" vertical="top" wrapText="1"/>
    </xf>
    <xf numFmtId="0" fontId="0" fillId="0" borderId="12" xfId="0" applyFont="1" applyBorder="1" applyAlignment="1">
      <alignment horizontal="center" vertical="center" wrapText="1"/>
    </xf>
    <xf numFmtId="0" fontId="0" fillId="0" borderId="17" xfId="0" applyFont="1" applyBorder="1" applyAlignment="1">
      <alignment horizontal="center" vertical="center" wrapText="1"/>
    </xf>
    <xf numFmtId="0" fontId="0" fillId="0" borderId="23" xfId="0" applyFont="1" applyBorder="1" applyAlignment="1">
      <alignment horizontal="center" vertical="center" wrapText="1"/>
    </xf>
    <xf numFmtId="0" fontId="0" fillId="0" borderId="37" xfId="0" applyFont="1" applyBorder="1" applyAlignment="1">
      <alignment horizontal="center" vertical="center" wrapText="1"/>
    </xf>
    <xf numFmtId="0" fontId="0" fillId="0" borderId="30" xfId="0" applyFont="1" applyBorder="1" applyAlignment="1">
      <alignment horizontal="center" vertical="center" wrapText="1"/>
    </xf>
    <xf numFmtId="0" fontId="0" fillId="0" borderId="17" xfId="0" applyFont="1" applyBorder="1" applyAlignment="1">
      <alignment horizontal="center" vertical="center" wrapText="1"/>
    </xf>
    <xf numFmtId="0" fontId="0" fillId="0" borderId="23" xfId="0" applyFont="1" applyBorder="1" applyAlignment="1">
      <alignment horizontal="center" vertical="center" wrapText="1"/>
    </xf>
    <xf numFmtId="0" fontId="0" fillId="0" borderId="20" xfId="0" applyFont="1" applyBorder="1" applyAlignment="1">
      <alignment horizontal="center" vertical="center" wrapText="1"/>
    </xf>
    <xf numFmtId="0" fontId="0" fillId="0" borderId="29" xfId="0" applyFont="1" applyBorder="1" applyAlignment="1">
      <alignment horizontal="center" vertical="center" wrapText="1"/>
    </xf>
    <xf numFmtId="0" fontId="23" fillId="0" borderId="23" xfId="0" applyFont="1" applyBorder="1" applyAlignment="1">
      <alignment horizontal="center" vertical="center" wrapText="1"/>
    </xf>
    <xf numFmtId="49" fontId="0" fillId="0" borderId="37" xfId="0" applyNumberFormat="1" applyFont="1" applyBorder="1" applyAlignment="1">
      <alignment horizontal="center" vertical="center" wrapText="1"/>
    </xf>
    <xf numFmtId="49" fontId="0" fillId="0" borderId="30" xfId="0" applyNumberFormat="1" applyFont="1" applyBorder="1" applyAlignment="1">
      <alignment horizontal="center" vertical="center" wrapText="1"/>
    </xf>
    <xf numFmtId="0" fontId="23" fillId="40" borderId="19" xfId="0" applyFont="1" applyFill="1" applyBorder="1" applyAlignment="1">
      <alignment horizontal="left" vertical="center" wrapText="1"/>
    </xf>
    <xf numFmtId="0" fontId="23" fillId="40" borderId="27" xfId="0" applyFont="1" applyFill="1" applyBorder="1" applyAlignment="1">
      <alignment horizontal="left" vertical="center" wrapText="1"/>
    </xf>
    <xf numFmtId="0" fontId="23" fillId="0" borderId="19" xfId="0" applyFont="1" applyBorder="1" applyAlignment="1">
      <alignment horizontal="left" vertical="top" wrapText="1" indent="1"/>
    </xf>
    <xf numFmtId="0" fontId="23" fillId="0" borderId="20" xfId="0" applyFont="1" applyBorder="1" applyAlignment="1">
      <alignment horizontal="left" vertical="center" wrapText="1" indent="1"/>
    </xf>
    <xf numFmtId="0" fontId="23" fillId="0" borderId="17" xfId="0" applyFont="1" applyBorder="1" applyAlignment="1">
      <alignment horizontal="left" vertical="center" wrapText="1" indent="1"/>
    </xf>
    <xf numFmtId="0" fontId="23" fillId="0" borderId="37" xfId="0" applyFont="1" applyBorder="1" applyAlignment="1">
      <alignment horizontal="left" vertical="center" wrapText="1" indent="1"/>
    </xf>
    <xf numFmtId="0" fontId="0" fillId="0" borderId="36" xfId="0" applyFont="1" applyBorder="1" applyAlignment="1">
      <alignment horizontal="left" vertical="top" wrapText="1"/>
    </xf>
    <xf numFmtId="0" fontId="23" fillId="34" borderId="14" xfId="0" applyFont="1" applyFill="1" applyBorder="1" applyAlignment="1">
      <alignment horizontal="left" vertical="center" wrapText="1"/>
    </xf>
    <xf numFmtId="0" fontId="23" fillId="34" borderId="15" xfId="0" applyFont="1" applyFill="1" applyBorder="1" applyAlignment="1">
      <alignment horizontal="left" vertical="center" wrapText="1"/>
    </xf>
    <xf numFmtId="0" fontId="23" fillId="34" borderId="13" xfId="0" applyFont="1" applyFill="1" applyBorder="1" applyAlignment="1">
      <alignment horizontal="left" vertical="center" wrapText="1"/>
    </xf>
    <xf numFmtId="0" fontId="23" fillId="40" borderId="14" xfId="0" applyFont="1" applyFill="1" applyBorder="1" applyAlignment="1">
      <alignment horizontal="left" vertical="center" wrapText="1"/>
    </xf>
    <xf numFmtId="0" fontId="23" fillId="40" borderId="15" xfId="0" applyFont="1" applyFill="1" applyBorder="1" applyAlignment="1">
      <alignment horizontal="left" vertical="center" wrapText="1"/>
    </xf>
    <xf numFmtId="0" fontId="23" fillId="40" borderId="13" xfId="0" applyFont="1" applyFill="1" applyBorder="1" applyAlignment="1">
      <alignment horizontal="left" vertical="center" wrapText="1"/>
    </xf>
    <xf numFmtId="0" fontId="23" fillId="0" borderId="19" xfId="0" applyFont="1" applyBorder="1" applyAlignment="1">
      <alignment horizontal="left" vertical="top" wrapText="1" indent="1"/>
    </xf>
    <xf numFmtId="0" fontId="23" fillId="0" borderId="27" xfId="0" applyFont="1" applyBorder="1" applyAlignment="1">
      <alignment horizontal="left" vertical="center" wrapText="1" indent="1"/>
    </xf>
    <xf numFmtId="0" fontId="0" fillId="35" borderId="12" xfId="0" applyFont="1" applyFill="1" applyBorder="1" applyAlignment="1">
      <alignment horizontal="right" vertical="center" wrapText="1" indent="1"/>
    </xf>
    <xf numFmtId="0" fontId="23" fillId="34" borderId="12" xfId="0" applyFont="1" applyFill="1" applyBorder="1" applyAlignment="1">
      <alignment horizontal="left" vertical="center" wrapText="1" indent="1"/>
    </xf>
    <xf numFmtId="0" fontId="37" fillId="0" borderId="27" xfId="0" applyFont="1" applyBorder="1" applyAlignment="1">
      <alignment horizontal="center" vertical="center" wrapText="1"/>
    </xf>
    <xf numFmtId="0" fontId="45" fillId="0" borderId="17" xfId="0" applyFont="1" applyBorder="1" applyAlignment="1">
      <alignment horizontal="left" vertical="top" wrapText="1"/>
    </xf>
    <xf numFmtId="0" fontId="45" fillId="0" borderId="36" xfId="0" applyFont="1" applyBorder="1" applyAlignment="1">
      <alignment horizontal="left" vertical="top" wrapText="1"/>
    </xf>
    <xf numFmtId="0" fontId="45" fillId="0" borderId="23" xfId="0" applyFont="1" applyBorder="1" applyAlignment="1">
      <alignment horizontal="left" vertical="top" wrapText="1"/>
    </xf>
    <xf numFmtId="0" fontId="47" fillId="0" borderId="12" xfId="0" applyFont="1" applyBorder="1" applyAlignment="1">
      <alignment horizontal="center" vertical="center" wrapText="1"/>
    </xf>
    <xf numFmtId="0" fontId="48" fillId="0" borderId="0" xfId="0" applyFont="1" applyAlignment="1">
      <alignment horizontal="center" vertical="center" wrapText="1"/>
    </xf>
    <xf numFmtId="0" fontId="47" fillId="0" borderId="12" xfId="0" applyFont="1" applyBorder="1" applyAlignment="1">
      <alignment horizontal="center" vertical="center"/>
    </xf>
    <xf numFmtId="0" fontId="47" fillId="0" borderId="14" xfId="0" applyFont="1" applyBorder="1" applyAlignment="1">
      <alignment horizontal="center" vertical="center"/>
    </xf>
    <xf numFmtId="0" fontId="23" fillId="0" borderId="17" xfId="0" applyFont="1" applyBorder="1" applyAlignment="1">
      <alignment horizontal="center" vertical="center" wrapText="1"/>
    </xf>
    <xf numFmtId="0" fontId="23" fillId="0" borderId="23" xfId="0" applyFont="1" applyBorder="1" applyAlignment="1">
      <alignment horizontal="center" vertical="center" wrapText="1"/>
    </xf>
    <xf numFmtId="0" fontId="23" fillId="0" borderId="14" xfId="0" applyFont="1" applyBorder="1" applyAlignment="1">
      <alignment horizontal="center" vertical="center" wrapText="1"/>
    </xf>
    <xf numFmtId="0" fontId="23" fillId="0" borderId="13" xfId="0" applyFont="1" applyBorder="1" applyAlignment="1">
      <alignment horizontal="center" vertical="center" wrapText="1"/>
    </xf>
    <xf numFmtId="179" fontId="23" fillId="34" borderId="12" xfId="0" applyNumberFormat="1" applyFont="1" applyFill="1" applyBorder="1" applyAlignment="1">
      <alignment horizontal="left" vertical="center" wrapText="1" indent="1"/>
    </xf>
    <xf numFmtId="179" fontId="0" fillId="39" borderId="12" xfId="0" applyNumberFormat="1" applyFont="1" applyFill="1" applyBorder="1" applyAlignment="1" applyProtection="1">
      <alignment horizontal="center" vertical="center" wrapText="1"/>
      <protection locked="0"/>
    </xf>
    <xf numFmtId="49" fontId="0" fillId="39" borderId="12" xfId="0" applyNumberFormat="1" applyFont="1" applyFill="1" applyBorder="1" applyAlignment="1" applyProtection="1">
      <alignment horizontal="center" vertical="center" wrapText="1"/>
      <protection locked="0"/>
    </xf>
    <xf numFmtId="179" fontId="47" fillId="0" borderId="12" xfId="0" applyNumberFormat="1" applyFont="1" applyBorder="1" applyAlignment="1">
      <alignment horizontal="center" vertical="center" wrapText="1"/>
    </xf>
    <xf numFmtId="49" fontId="47" fillId="0" borderId="12" xfId="0" applyNumberFormat="1" applyFont="1" applyBorder="1" applyAlignment="1">
      <alignment horizontal="center" vertical="center" wrapText="1"/>
    </xf>
    <xf numFmtId="0" fontId="23" fillId="0" borderId="15" xfId="0" applyFont="1" applyBorder="1" applyAlignment="1">
      <alignment horizontal="center" vertical="center" wrapText="1"/>
    </xf>
    <xf numFmtId="0" fontId="0" fillId="0" borderId="14" xfId="0" applyFont="1" applyBorder="1" applyAlignment="1">
      <alignment horizontal="center" vertical="center" wrapText="1"/>
    </xf>
    <xf numFmtId="0" fontId="0" fillId="0" borderId="13" xfId="0" applyFont="1" applyBorder="1" applyAlignment="1">
      <alignment horizontal="center" vertical="center" wrapText="1"/>
    </xf>
    <xf numFmtId="0" fontId="81" fillId="35" borderId="19" xfId="0" applyFont="1" applyFill="1" applyBorder="1" applyAlignment="1">
      <alignment horizontal="center" vertical="center" wrapText="1"/>
    </xf>
    <xf numFmtId="0" fontId="23" fillId="35" borderId="12" xfId="0" applyFont="1" applyFill="1" applyBorder="1" applyAlignment="1">
      <alignment horizontal="left" vertical="center" wrapText="1"/>
    </xf>
    <xf numFmtId="0" fontId="0" fillId="35" borderId="14" xfId="0" applyFont="1" applyFill="1" applyBorder="1" applyAlignment="1">
      <alignment horizontal="center" vertical="center" wrapText="1"/>
    </xf>
    <xf numFmtId="0" fontId="0" fillId="35" borderId="15" xfId="0" applyFont="1" applyFill="1" applyBorder="1" applyAlignment="1">
      <alignment horizontal="center" vertical="center" wrapText="1"/>
    </xf>
    <xf numFmtId="0" fontId="0" fillId="35" borderId="13" xfId="0" applyFont="1" applyFill="1" applyBorder="1" applyAlignment="1">
      <alignment horizontal="center" vertical="center" wrapText="1"/>
    </xf>
    <xf numFmtId="0" fontId="23" fillId="35" borderId="17" xfId="0" applyFont="1" applyFill="1" applyBorder="1" applyAlignment="1">
      <alignment horizontal="center" vertical="center" wrapText="1"/>
    </xf>
    <xf numFmtId="0" fontId="23" fillId="35" borderId="36" xfId="0" applyFont="1" applyFill="1" applyBorder="1" applyAlignment="1">
      <alignment horizontal="center" vertical="center" wrapText="1"/>
    </xf>
    <xf numFmtId="0" fontId="23" fillId="35" borderId="23" xfId="0" applyFont="1" applyFill="1" applyBorder="1" applyAlignment="1">
      <alignment horizontal="center" vertical="center" wrapText="1"/>
    </xf>
    <xf numFmtId="49" fontId="40" fillId="37" borderId="17" xfId="0" applyNumberFormat="1" applyFont="1" applyFill="1" applyBorder="1" applyAlignment="1">
      <alignment horizontal="center" vertical="center" textRotation="90" wrapText="1"/>
    </xf>
    <xf numFmtId="49" fontId="40" fillId="37" borderId="36" xfId="0" applyNumberFormat="1" applyFont="1" applyFill="1" applyBorder="1" applyAlignment="1">
      <alignment horizontal="center" vertical="center" textRotation="90" wrapText="1"/>
    </xf>
    <xf numFmtId="49" fontId="40" fillId="37" borderId="23" xfId="0" applyNumberFormat="1" applyFont="1" applyFill="1" applyBorder="1" applyAlignment="1">
      <alignment horizontal="center" vertical="center" textRotation="90" wrapText="1"/>
    </xf>
    <xf numFmtId="0" fontId="47" fillId="0" borderId="17" xfId="0" applyFont="1" applyBorder="1" applyAlignment="1">
      <alignment horizontal="center" vertical="center" wrapText="1"/>
    </xf>
    <xf numFmtId="0" fontId="47" fillId="0" borderId="23" xfId="0" applyFont="1" applyBorder="1" applyAlignment="1">
      <alignment horizontal="center" vertical="center" wrapText="1"/>
    </xf>
    <xf numFmtId="0" fontId="23" fillId="0" borderId="0" xfId="0" applyFont="1" applyAlignment="1">
      <alignment horizontal="left" vertical="top" wrapText="1"/>
    </xf>
    <xf numFmtId="0" fontId="47" fillId="0" borderId="14" xfId="0" applyFont="1" applyBorder="1" applyAlignment="1">
      <alignment horizontal="center" vertical="center" wrapText="1"/>
    </xf>
    <xf numFmtId="179" fontId="0" fillId="39" borderId="17" xfId="0" applyNumberFormat="1" applyFont="1" applyFill="1" applyBorder="1" applyAlignment="1" applyProtection="1">
      <alignment horizontal="center" vertical="center" wrapText="1"/>
      <protection locked="0"/>
    </xf>
    <xf numFmtId="49" fontId="0" fillId="39" borderId="23" xfId="0" applyNumberFormat="1" applyFont="1" applyFill="1" applyBorder="1" applyAlignment="1" applyProtection="1">
      <alignment horizontal="center" vertical="center" wrapText="1"/>
      <protection locked="0"/>
    </xf>
    <xf numFmtId="0" fontId="23" fillId="0" borderId="12" xfId="0" applyFont="1" applyBorder="1" applyAlignment="1">
      <alignment horizontal="center" vertical="center"/>
    </xf>
    <xf numFmtId="0" fontId="23" fillId="0" borderId="14" xfId="0" applyFont="1" applyBorder="1" applyAlignment="1">
      <alignment horizontal="center" vertical="center"/>
    </xf>
    <xf numFmtId="0" fontId="0" fillId="35" borderId="19" xfId="0" applyFont="1" applyFill="1" applyBorder="1" applyAlignment="1">
      <alignment horizontal="center" vertical="center" wrapText="1"/>
    </xf>
    <xf numFmtId="0" fontId="48" fillId="0" borderId="17" xfId="0" applyFont="1" applyBorder="1" applyAlignment="1">
      <alignment horizontal="center" vertical="center" wrapText="1"/>
    </xf>
    <xf numFmtId="0" fontId="48" fillId="0" borderId="23" xfId="0" applyFont="1" applyBorder="1" applyAlignment="1">
      <alignment horizontal="center" vertical="center" wrapText="1"/>
    </xf>
    <xf numFmtId="0" fontId="23" fillId="0" borderId="37" xfId="0" applyFont="1" applyBorder="1" applyAlignment="1">
      <alignment horizontal="center" vertical="center" wrapText="1"/>
    </xf>
    <xf numFmtId="0" fontId="23" fillId="0" borderId="30" xfId="0" applyFont="1" applyBorder="1" applyAlignment="1">
      <alignment horizontal="center" vertical="center" wrapText="1"/>
    </xf>
    <xf numFmtId="0" fontId="48" fillId="0" borderId="14" xfId="0" applyFont="1" applyBorder="1" applyAlignment="1">
      <alignment horizontal="left" vertical="center" wrapText="1"/>
    </xf>
    <xf numFmtId="0" fontId="48" fillId="0" borderId="15" xfId="0" applyFont="1" applyBorder="1" applyAlignment="1">
      <alignment horizontal="left" vertical="center" wrapText="1"/>
    </xf>
    <xf numFmtId="0" fontId="48" fillId="0" borderId="13" xfId="0" applyFont="1" applyBorder="1" applyAlignment="1">
      <alignment horizontal="left" vertical="center" wrapText="1"/>
    </xf>
    <xf numFmtId="0" fontId="0" fillId="0" borderId="0" xfId="0" applyFont="1" applyAlignment="1">
      <alignment horizontal="left" vertical="top" wrapText="1"/>
    </xf>
    <xf numFmtId="0" fontId="23" fillId="34" borderId="37" xfId="0" applyFont="1" applyFill="1" applyBorder="1" applyAlignment="1">
      <alignment horizontal="left" vertical="center" wrapText="1"/>
    </xf>
    <xf numFmtId="0" fontId="23" fillId="34" borderId="19" xfId="0" applyFont="1" applyFill="1" applyBorder="1" applyAlignment="1">
      <alignment horizontal="left" vertical="center" wrapText="1"/>
    </xf>
    <xf numFmtId="0" fontId="23" fillId="34" borderId="20" xfId="0" applyFont="1" applyFill="1" applyBorder="1" applyAlignment="1">
      <alignment horizontal="left" vertical="center" wrapText="1"/>
    </xf>
    <xf numFmtId="0" fontId="23" fillId="34" borderId="12" xfId="0" applyFont="1" applyFill="1" applyBorder="1" applyAlignment="1">
      <alignment horizontal="left" vertical="center" wrapText="1"/>
    </xf>
    <xf numFmtId="0" fontId="48" fillId="0" borderId="12" xfId="0" applyFont="1" applyBorder="1" applyAlignment="1">
      <alignment horizontal="left" vertical="center" wrapText="1"/>
    </xf>
    <xf numFmtId="0" fontId="23" fillId="40" borderId="12" xfId="0" applyFont="1" applyFill="1" applyBorder="1" applyAlignment="1">
      <alignment horizontal="left" vertical="center" wrapText="1"/>
    </xf>
    <xf numFmtId="179" fontId="0" fillId="39" borderId="23" xfId="0" applyNumberFormat="1" applyFont="1" applyFill="1" applyBorder="1" applyAlignment="1" applyProtection="1">
      <alignment horizontal="center" vertical="center" wrapText="1"/>
      <protection locked="0"/>
    </xf>
    <xf numFmtId="0" fontId="23" fillId="0" borderId="19" xfId="0" applyFont="1" applyBorder="1" applyAlignment="1">
      <alignment horizontal="left" vertical="center" wrapText="1" indent="1"/>
    </xf>
    <xf numFmtId="0" fontId="23" fillId="40" borderId="20" xfId="0" applyFont="1" applyFill="1" applyBorder="1" applyAlignment="1">
      <alignment horizontal="left" vertical="center" wrapText="1"/>
    </xf>
    <xf numFmtId="49" fontId="0" fillId="39" borderId="12" xfId="0" applyNumberFormat="1" applyFont="1" applyFill="1" applyBorder="1" applyAlignment="1" applyProtection="1">
      <alignment horizontal="center" vertical="center" wrapText="1"/>
      <protection locked="0"/>
    </xf>
    <xf numFmtId="0" fontId="23" fillId="0" borderId="12" xfId="0" applyFont="1" applyBorder="1" applyAlignment="1">
      <alignment horizontal="center" vertical="center"/>
    </xf>
    <xf numFmtId="0" fontId="23" fillId="0" borderId="14" xfId="0" applyFont="1" applyBorder="1" applyAlignment="1">
      <alignment horizontal="center" vertical="center"/>
    </xf>
    <xf numFmtId="0" fontId="23" fillId="0" borderId="12" xfId="0" applyFont="1" applyBorder="1" applyAlignment="1">
      <alignment horizontal="center" vertical="center" wrapText="1"/>
    </xf>
    <xf numFmtId="0" fontId="23" fillId="0" borderId="19" xfId="0" applyFont="1" applyBorder="1" applyAlignment="1">
      <alignment horizontal="center" vertical="center" wrapText="1"/>
    </xf>
    <xf numFmtId="0" fontId="23" fillId="0" borderId="20" xfId="0" applyFont="1" applyBorder="1" applyAlignment="1">
      <alignment horizontal="center" vertical="center" wrapText="1"/>
    </xf>
    <xf numFmtId="0" fontId="23" fillId="0" borderId="27" xfId="0" applyFont="1" applyBorder="1" applyAlignment="1">
      <alignment horizontal="center" vertical="center" wrapText="1"/>
    </xf>
    <xf numFmtId="0" fontId="23" fillId="0" borderId="29" xfId="0" applyFont="1" applyBorder="1" applyAlignment="1">
      <alignment horizontal="center" vertical="center" wrapText="1"/>
    </xf>
    <xf numFmtId="0" fontId="0" fillId="0" borderId="17" xfId="0" applyFont="1" applyBorder="1" applyAlignment="1">
      <alignment horizontal="center" vertical="center" wrapText="1"/>
    </xf>
    <xf numFmtId="0" fontId="0" fillId="0" borderId="36" xfId="0" applyFont="1" applyBorder="1" applyAlignment="1">
      <alignment horizontal="center" vertical="center" wrapText="1"/>
    </xf>
    <xf numFmtId="0" fontId="0" fillId="0" borderId="23" xfId="0" applyFont="1" applyBorder="1" applyAlignment="1">
      <alignment horizontal="center" vertical="center" wrapText="1"/>
    </xf>
    <xf numFmtId="0" fontId="0" fillId="0" borderId="15" xfId="0" applyFont="1" applyBorder="1" applyAlignment="1">
      <alignment horizontal="center" vertical="center" wrapText="1"/>
    </xf>
    <xf numFmtId="0" fontId="0" fillId="0" borderId="37" xfId="0" applyFont="1" applyBorder="1" applyAlignment="1">
      <alignment horizontal="center" vertical="center" wrapText="1"/>
    </xf>
    <xf numFmtId="0" fontId="0" fillId="0" borderId="20" xfId="0" applyFont="1" applyBorder="1" applyAlignment="1">
      <alignment horizontal="center" vertical="center" wrapText="1"/>
    </xf>
    <xf numFmtId="0" fontId="0" fillId="0" borderId="30" xfId="0" applyFont="1" applyBorder="1" applyAlignment="1">
      <alignment horizontal="center" vertical="center" wrapText="1"/>
    </xf>
    <xf numFmtId="0" fontId="0" fillId="0" borderId="29" xfId="0" applyFont="1" applyBorder="1" applyAlignment="1">
      <alignment horizontal="center" vertical="center" wrapText="1"/>
    </xf>
    <xf numFmtId="0" fontId="23" fillId="0" borderId="22" xfId="0" applyFont="1" applyBorder="1" applyAlignment="1">
      <alignment horizontal="center" vertical="center" wrapText="1"/>
    </xf>
    <xf numFmtId="0" fontId="37" fillId="0" borderId="12" xfId="0" applyFont="1" applyBorder="1" applyAlignment="1">
      <alignment horizontal="center" vertical="center" wrapText="1"/>
    </xf>
    <xf numFmtId="49" fontId="23" fillId="40" borderId="12" xfId="0" applyNumberFormat="1" applyFont="1" applyFill="1" applyBorder="1" applyAlignment="1">
      <alignment horizontal="left" vertical="center" wrapText="1" indent="1"/>
    </xf>
    <xf numFmtId="0" fontId="0" fillId="35" borderId="37" xfId="0" applyFont="1" applyFill="1" applyBorder="1" applyAlignment="1">
      <alignment horizontal="center" vertical="center" wrapText="1"/>
    </xf>
    <xf numFmtId="0" fontId="0" fillId="35" borderId="20" xfId="0" applyFont="1" applyFill="1" applyBorder="1" applyAlignment="1">
      <alignment horizontal="center" vertical="center" wrapText="1"/>
    </xf>
    <xf numFmtId="0" fontId="0" fillId="35" borderId="22" xfId="0" applyFont="1" applyFill="1" applyBorder="1" applyAlignment="1">
      <alignment horizontal="center" vertical="center" wrapText="1"/>
    </xf>
    <xf numFmtId="0" fontId="0" fillId="35" borderId="0" xfId="0" applyFont="1" applyFill="1" applyAlignment="1">
      <alignment horizontal="center" vertical="center" wrapText="1"/>
    </xf>
    <xf numFmtId="0" fontId="0" fillId="35" borderId="24" xfId="0" applyFont="1" applyFill="1" applyBorder="1" applyAlignment="1">
      <alignment horizontal="center" vertical="center" wrapText="1"/>
    </xf>
    <xf numFmtId="0" fontId="0" fillId="35" borderId="30" xfId="0" applyFont="1" applyFill="1" applyBorder="1" applyAlignment="1">
      <alignment horizontal="center" vertical="center" wrapText="1"/>
    </xf>
    <xf numFmtId="0" fontId="0" fillId="35" borderId="27" xfId="0" applyFont="1" applyFill="1" applyBorder="1" applyAlignment="1">
      <alignment horizontal="center" vertical="center" wrapText="1"/>
    </xf>
    <xf numFmtId="0" fontId="0" fillId="35" borderId="29" xfId="0" applyFont="1" applyFill="1" applyBorder="1" applyAlignment="1">
      <alignment horizontal="center" vertical="center" wrapText="1"/>
    </xf>
    <xf numFmtId="0" fontId="23" fillId="35" borderId="37" xfId="0" applyFont="1" applyFill="1" applyBorder="1" applyAlignment="1">
      <alignment horizontal="center" vertical="center" wrapText="1"/>
    </xf>
    <xf numFmtId="0" fontId="23" fillId="35" borderId="22" xfId="0" applyFont="1" applyFill="1" applyBorder="1" applyAlignment="1">
      <alignment horizontal="center" vertical="center" wrapText="1"/>
    </xf>
    <xf numFmtId="0" fontId="23" fillId="35" borderId="30" xfId="0" applyFont="1" applyFill="1" applyBorder="1" applyAlignment="1">
      <alignment horizontal="center" vertical="center" wrapText="1"/>
    </xf>
    <xf numFmtId="0" fontId="23" fillId="39" borderId="12" xfId="0" applyFont="1" applyFill="1" applyBorder="1" applyAlignment="1" applyProtection="1">
      <alignment horizontal="center" vertical="center" wrapText="1"/>
      <protection locked="0"/>
    </xf>
    <xf numFmtId="0" fontId="23" fillId="34" borderId="12" xfId="0" applyFont="1" applyFill="1" applyBorder="1" applyAlignment="1">
      <alignment horizontal="center" vertical="center" wrapText="1"/>
    </xf>
    <xf numFmtId="0" fontId="23" fillId="35" borderId="17" xfId="0" applyFont="1" applyFill="1" applyBorder="1" applyAlignment="1">
      <alignment horizontal="left" vertical="center" wrapText="1"/>
    </xf>
    <xf numFmtId="0" fontId="23" fillId="35" borderId="36" xfId="0" applyFont="1" applyFill="1" applyBorder="1" applyAlignment="1">
      <alignment horizontal="left" vertical="center" wrapText="1"/>
    </xf>
    <xf numFmtId="0" fontId="23" fillId="35" borderId="23" xfId="0" applyFont="1" applyFill="1" applyBorder="1" applyAlignment="1">
      <alignment horizontal="left" vertical="center" wrapText="1"/>
    </xf>
    <xf numFmtId="49" fontId="23" fillId="39" borderId="17" xfId="0" applyNumberFormat="1" applyFont="1" applyFill="1" applyBorder="1" applyAlignment="1" applyProtection="1">
      <alignment horizontal="left" vertical="center" wrapText="1" indent="6"/>
      <protection locked="0"/>
    </xf>
    <xf numFmtId="49" fontId="23" fillId="39" borderId="36" xfId="0" applyNumberFormat="1" applyFont="1" applyFill="1" applyBorder="1" applyAlignment="1" applyProtection="1">
      <alignment horizontal="left" vertical="center" wrapText="1" indent="6"/>
      <protection locked="0"/>
    </xf>
    <xf numFmtId="49" fontId="23" fillId="39" borderId="23" xfId="0" applyNumberFormat="1" applyFont="1" applyFill="1" applyBorder="1" applyAlignment="1" applyProtection="1">
      <alignment horizontal="left" vertical="center" wrapText="1" indent="6"/>
      <protection locked="0"/>
    </xf>
    <xf numFmtId="0" fontId="48" fillId="0" borderId="24" xfId="0" applyFont="1" applyBorder="1" applyAlignment="1">
      <alignment horizontal="center" vertical="top" wrapText="1"/>
    </xf>
    <xf numFmtId="49" fontId="23" fillId="0" borderId="12" xfId="0" applyNumberFormat="1" applyFont="1" applyBorder="1" applyAlignment="1">
      <alignment horizontal="left" vertical="center" wrapText="1" indent="1"/>
    </xf>
    <xf numFmtId="0" fontId="45" fillId="0" borderId="12" xfId="0" applyFont="1" applyBorder="1" applyAlignment="1">
      <alignment horizontal="left" vertical="top" wrapText="1"/>
    </xf>
    <xf numFmtId="0" fontId="23" fillId="36" borderId="14" xfId="0" applyFont="1" applyFill="1" applyBorder="1" applyAlignment="1" applyProtection="1">
      <alignment horizontal="left" vertical="center" wrapText="1"/>
      <protection locked="0"/>
    </xf>
    <xf numFmtId="0" fontId="23" fillId="36" borderId="15" xfId="0" applyFont="1" applyFill="1" applyBorder="1" applyAlignment="1" applyProtection="1">
      <alignment horizontal="left" vertical="center" wrapText="1"/>
      <protection locked="0"/>
    </xf>
    <xf numFmtId="0" fontId="23" fillId="36" borderId="13" xfId="0" applyFont="1" applyFill="1" applyBorder="1" applyAlignment="1" applyProtection="1">
      <alignment horizontal="left" vertical="center" wrapText="1"/>
      <protection locked="0"/>
    </xf>
    <xf numFmtId="49" fontId="23" fillId="36" borderId="14" xfId="0" applyNumberFormat="1" applyFont="1" applyFill="1" applyBorder="1" applyAlignment="1" applyProtection="1">
      <alignment horizontal="left" vertical="center" wrapText="1"/>
      <protection locked="0"/>
    </xf>
    <xf numFmtId="49" fontId="23" fillId="36" borderId="15" xfId="0" applyNumberFormat="1" applyFont="1" applyFill="1" applyBorder="1" applyAlignment="1" applyProtection="1">
      <alignment horizontal="left" vertical="center" wrapText="1"/>
      <protection locked="0"/>
    </xf>
    <xf numFmtId="49" fontId="23" fillId="36" borderId="13" xfId="0" applyNumberFormat="1" applyFont="1" applyFill="1" applyBorder="1" applyAlignment="1" applyProtection="1">
      <alignment horizontal="left" vertical="center" wrapText="1"/>
      <protection locked="0"/>
    </xf>
    <xf numFmtId="0" fontId="23" fillId="39" borderId="13" xfId="0" applyFont="1" applyFill="1" applyBorder="1" applyAlignment="1" applyProtection="1">
      <alignment horizontal="center" vertical="center" wrapText="1"/>
      <protection locked="0"/>
    </xf>
    <xf numFmtId="4" fontId="23" fillId="39" borderId="12" xfId="0" applyNumberFormat="1" applyFont="1" applyFill="1" applyBorder="1" applyAlignment="1" applyProtection="1">
      <alignment horizontal="center" vertical="center" wrapText="1"/>
      <protection locked="0"/>
    </xf>
    <xf numFmtId="49" fontId="23" fillId="40" borderId="20" xfId="0" applyNumberFormat="1" applyFont="1" applyFill="1" applyBorder="1" applyAlignment="1">
      <alignment horizontal="center" vertical="center" wrapText="1"/>
    </xf>
    <xf numFmtId="49" fontId="23" fillId="40" borderId="29" xfId="0" applyNumberFormat="1" applyFont="1" applyFill="1" applyBorder="1" applyAlignment="1">
      <alignment horizontal="center" vertical="center" wrapText="1"/>
    </xf>
    <xf numFmtId="49" fontId="23" fillId="36" borderId="17" xfId="0" applyNumberFormat="1" applyFont="1" applyFill="1" applyBorder="1" applyAlignment="1" applyProtection="1">
      <alignment horizontal="left" vertical="center" wrapText="1" indent="6"/>
      <protection locked="0"/>
    </xf>
    <xf numFmtId="49" fontId="23" fillId="36" borderId="36" xfId="0" applyNumberFormat="1" applyFont="1" applyFill="1" applyBorder="1" applyAlignment="1" applyProtection="1">
      <alignment horizontal="left" vertical="center" wrapText="1" indent="6"/>
      <protection locked="0"/>
    </xf>
    <xf numFmtId="49" fontId="23" fillId="36" borderId="23" xfId="0" applyNumberFormat="1" applyFont="1" applyFill="1" applyBorder="1" applyAlignment="1" applyProtection="1">
      <alignment horizontal="left" vertical="center" wrapText="1" indent="6"/>
      <protection locked="0"/>
    </xf>
    <xf numFmtId="4" fontId="23" fillId="39" borderId="12" xfId="0" applyNumberFormat="1" applyFont="1" applyFill="1" applyBorder="1" applyAlignment="1" applyProtection="1">
      <alignment horizontal="left" vertical="center" wrapText="1" indent="1"/>
      <protection locked="0"/>
    </xf>
    <xf numFmtId="0" fontId="48" fillId="0" borderId="19" xfId="0" applyFont="1" applyBorder="1" applyAlignment="1">
      <alignment horizontal="left" vertical="center" wrapText="1"/>
    </xf>
    <xf numFmtId="49" fontId="23" fillId="35" borderId="12" xfId="73" applyNumberFormat="1" applyFont="1" applyFill="1" applyBorder="1" applyAlignment="1">
      <alignment horizontal="center" vertical="center" wrapText="1"/>
      <protection/>
    </xf>
    <xf numFmtId="0" fontId="23" fillId="0" borderId="12" xfId="0" applyFont="1" applyBorder="1" applyAlignment="1">
      <alignment horizontal="center" vertical="center" wrapText="1"/>
    </xf>
    <xf numFmtId="0" fontId="23" fillId="0" borderId="15" xfId="0" applyFont="1" applyBorder="1" applyAlignment="1">
      <alignment horizontal="right" vertical="center" wrapText="1" indent="1"/>
    </xf>
    <xf numFmtId="0" fontId="23" fillId="0" borderId="13" xfId="0" applyFont="1" applyBorder="1" applyAlignment="1">
      <alignment horizontal="right" vertical="center" wrapText="1" indent="1"/>
    </xf>
    <xf numFmtId="0" fontId="23" fillId="0" borderId="14" xfId="0" applyFont="1" applyBorder="1" applyAlignment="1">
      <alignment horizontal="right" vertical="center" wrapText="1"/>
    </xf>
    <xf numFmtId="0" fontId="23" fillId="0" borderId="15" xfId="0" applyFont="1" applyBorder="1" applyAlignment="1">
      <alignment horizontal="right" vertical="center" wrapText="1"/>
    </xf>
    <xf numFmtId="49" fontId="92" fillId="46" borderId="0" xfId="0" applyNumberFormat="1" applyFont="1" applyFill="1" applyAlignment="1">
      <alignment horizontal="center" vertical="center" textRotation="90" wrapText="1"/>
    </xf>
    <xf numFmtId="0" fontId="73" fillId="0" borderId="0" xfId="0" applyFont="1" applyAlignment="1">
      <alignment horizontal="center" vertical="center" wrapText="1"/>
    </xf>
    <xf numFmtId="49" fontId="92" fillId="46" borderId="0" xfId="0" applyNumberFormat="1" applyFont="1" applyFill="1" applyAlignment="1">
      <alignment horizontal="center" vertical="center" textRotation="90" wrapText="1"/>
    </xf>
    <xf numFmtId="0" fontId="48" fillId="0" borderId="0" xfId="0" applyFont="1" applyAlignment="1">
      <alignment horizontal="center" vertical="center" wrapText="1"/>
    </xf>
    <xf numFmtId="0" fontId="47" fillId="0" borderId="0" xfId="0" applyFont="1" applyAlignment="1">
      <alignment horizontal="center" vertical="top"/>
    </xf>
    <xf numFmtId="0" fontId="23" fillId="0" borderId="23" xfId="0" applyFont="1" applyBorder="1" applyAlignment="1">
      <alignment horizontal="left" vertical="center" wrapText="1"/>
    </xf>
    <xf numFmtId="0" fontId="0" fillId="0" borderId="14" xfId="0" applyFont="1" applyBorder="1" applyAlignment="1">
      <alignment horizontal="right" vertical="center" wrapText="1" indent="1"/>
    </xf>
    <xf numFmtId="0" fontId="0" fillId="0" borderId="15" xfId="0" applyFont="1" applyBorder="1" applyAlignment="1">
      <alignment horizontal="right" vertical="center" wrapText="1" indent="1"/>
    </xf>
    <xf numFmtId="0" fontId="0" fillId="0" borderId="13" xfId="0" applyFont="1" applyBorder="1" applyAlignment="1">
      <alignment horizontal="right" vertical="center" wrapText="1" indent="1"/>
    </xf>
    <xf numFmtId="49" fontId="48" fillId="0" borderId="17" xfId="0" applyNumberFormat="1" applyFont="1" applyBorder="1" applyAlignment="1">
      <alignment horizontal="center" vertical="center" wrapText="1"/>
    </xf>
    <xf numFmtId="49" fontId="48" fillId="0" borderId="36" xfId="0" applyNumberFormat="1" applyFont="1" applyBorder="1" applyAlignment="1">
      <alignment horizontal="center" vertical="center" wrapText="1"/>
    </xf>
    <xf numFmtId="49" fontId="48" fillId="0" borderId="23" xfId="0" applyNumberFormat="1" applyFont="1" applyBorder="1" applyAlignment="1">
      <alignment horizontal="center" vertical="center" wrapText="1"/>
    </xf>
    <xf numFmtId="0" fontId="0" fillId="34" borderId="12" xfId="0" applyFont="1" applyFill="1" applyBorder="1" applyAlignment="1">
      <alignment horizontal="left" vertical="center" wrapText="1" indent="1"/>
    </xf>
    <xf numFmtId="0" fontId="45" fillId="0" borderId="0" xfId="0" applyFont="1" applyAlignment="1">
      <alignment horizontal="left" vertical="top" wrapText="1"/>
    </xf>
    <xf numFmtId="0" fontId="23" fillId="0" borderId="0" xfId="0" applyFont="1" applyAlignment="1">
      <alignment horizontal="left" vertical="top" wrapText="1"/>
    </xf>
    <xf numFmtId="0" fontId="23" fillId="35" borderId="14" xfId="0" applyFont="1" applyFill="1" applyBorder="1" applyAlignment="1">
      <alignment horizontal="center" vertical="center" wrapText="1"/>
    </xf>
    <xf numFmtId="0" fontId="23" fillId="35" borderId="15" xfId="0" applyFont="1" applyFill="1" applyBorder="1" applyAlignment="1">
      <alignment horizontal="center" vertical="center" wrapText="1"/>
    </xf>
    <xf numFmtId="0" fontId="23" fillId="35" borderId="20" xfId="0" applyFont="1" applyFill="1" applyBorder="1" applyAlignment="1">
      <alignment horizontal="center" vertical="center" wrapText="1"/>
    </xf>
    <xf numFmtId="0" fontId="23" fillId="35" borderId="12" xfId="0" applyFont="1" applyFill="1" applyBorder="1" applyAlignment="1">
      <alignment horizontal="center" vertical="center"/>
    </xf>
    <xf numFmtId="0" fontId="48" fillId="0" borderId="15" xfId="0" applyFont="1" applyBorder="1" applyAlignment="1">
      <alignment horizontal="right" vertical="center" wrapText="1" indent="1"/>
    </xf>
    <xf numFmtId="0" fontId="48" fillId="0" borderId="13" xfId="0" applyFont="1" applyBorder="1" applyAlignment="1">
      <alignment horizontal="right" vertical="center" wrapText="1" indent="1"/>
    </xf>
    <xf numFmtId="49" fontId="23" fillId="57" borderId="0" xfId="0" applyNumberFormat="1" applyFont="1" applyFill="1" applyAlignment="1">
      <alignment horizontal="center" vertical="center" textRotation="90" wrapText="1"/>
    </xf>
    <xf numFmtId="0" fontId="23" fillId="34" borderId="14" xfId="0" applyFont="1" applyFill="1" applyBorder="1" applyAlignment="1">
      <alignment horizontal="left" vertical="top" wrapText="1"/>
    </xf>
    <xf numFmtId="0" fontId="23" fillId="34" borderId="13" xfId="0" applyFont="1" applyFill="1" applyBorder="1" applyAlignment="1">
      <alignment horizontal="left" vertical="top" wrapText="1"/>
    </xf>
    <xf numFmtId="0" fontId="23" fillId="34" borderId="14" xfId="0" applyFont="1" applyFill="1" applyBorder="1" applyAlignment="1">
      <alignment horizontal="left" vertical="top" wrapText="1" indent="1"/>
    </xf>
    <xf numFmtId="0" fontId="23" fillId="34" borderId="13" xfId="0" applyFont="1" applyFill="1" applyBorder="1" applyAlignment="1">
      <alignment horizontal="left" vertical="top" wrapText="1" indent="1"/>
    </xf>
    <xf numFmtId="49" fontId="23" fillId="0" borderId="0" xfId="0" applyNumberFormat="1" applyFont="1" applyAlignment="1">
      <alignment vertical="center" wrapText="1"/>
    </xf>
    <xf numFmtId="0" fontId="36" fillId="0" borderId="24" xfId="0" applyFont="1" applyBorder="1" applyAlignment="1">
      <alignment horizontal="center" vertical="center" wrapText="1"/>
    </xf>
    <xf numFmtId="0" fontId="0" fillId="35" borderId="14" xfId="0" applyFont="1" applyFill="1" applyBorder="1" applyAlignment="1">
      <alignment horizontal="center" vertical="center" wrapText="1"/>
    </xf>
    <xf numFmtId="0" fontId="0" fillId="35" borderId="15" xfId="0" applyFont="1" applyFill="1" applyBorder="1" applyAlignment="1">
      <alignment horizontal="center" vertical="center" wrapText="1"/>
    </xf>
    <xf numFmtId="0" fontId="0" fillId="35" borderId="13" xfId="0" applyFont="1" applyFill="1" applyBorder="1" applyAlignment="1">
      <alignment horizontal="center" vertical="center" wrapText="1"/>
    </xf>
    <xf numFmtId="49" fontId="0" fillId="0" borderId="12" xfId="0" applyNumberFormat="1" applyFont="1" applyBorder="1" applyAlignment="1">
      <alignment horizontal="center" vertical="center" wrapText="1"/>
    </xf>
    <xf numFmtId="0" fontId="0" fillId="0" borderId="12" xfId="0" applyFont="1" applyBorder="1" applyAlignment="1">
      <alignment horizontal="left" vertical="center" wrapText="1" indent="1"/>
    </xf>
    <xf numFmtId="49" fontId="23" fillId="0" borderId="12" xfId="0" applyNumberFormat="1" applyFont="1" applyBorder="1" applyAlignment="1">
      <alignment horizontal="left" vertical="center" wrapText="1"/>
    </xf>
    <xf numFmtId="49" fontId="23" fillId="0" borderId="14" xfId="0" applyNumberFormat="1" applyFont="1" applyBorder="1" applyAlignment="1">
      <alignment horizontal="center" vertical="center" wrapText="1"/>
    </xf>
    <xf numFmtId="49" fontId="48" fillId="0" borderId="12" xfId="0" applyNumberFormat="1" applyFont="1" applyBorder="1" applyAlignment="1">
      <alignment horizontal="center" vertical="center" wrapText="1"/>
    </xf>
    <xf numFmtId="0" fontId="23" fillId="0" borderId="0" xfId="0" applyFont="1" applyAlignment="1">
      <alignment horizontal="left" vertical="center" wrapText="1"/>
    </xf>
    <xf numFmtId="0" fontId="23" fillId="35" borderId="12" xfId="0" applyFont="1" applyFill="1" applyBorder="1" applyAlignment="1">
      <alignment horizontal="center" vertical="center" wrapText="1"/>
    </xf>
    <xf numFmtId="0" fontId="23" fillId="35" borderId="37" xfId="0" applyFont="1" applyFill="1" applyBorder="1" applyAlignment="1">
      <alignment horizontal="center" vertical="center" wrapText="1"/>
    </xf>
    <xf numFmtId="0" fontId="23" fillId="35" borderId="20" xfId="0" applyFont="1" applyFill="1" applyBorder="1" applyAlignment="1">
      <alignment horizontal="center" vertical="center" wrapText="1"/>
    </xf>
    <xf numFmtId="0" fontId="23" fillId="35" borderId="22" xfId="0" applyFont="1" applyFill="1" applyBorder="1" applyAlignment="1">
      <alignment horizontal="center" vertical="center" wrapText="1"/>
    </xf>
    <xf numFmtId="0" fontId="23" fillId="35" borderId="24" xfId="0" applyFont="1" applyFill="1" applyBorder="1" applyAlignment="1">
      <alignment horizontal="center" vertical="center" wrapText="1"/>
    </xf>
    <xf numFmtId="0" fontId="23" fillId="35" borderId="30" xfId="0" applyFont="1" applyFill="1" applyBorder="1" applyAlignment="1">
      <alignment horizontal="center" vertical="center" wrapText="1"/>
    </xf>
    <xf numFmtId="0" fontId="23" fillId="35" borderId="29" xfId="0" applyFont="1" applyFill="1" applyBorder="1" applyAlignment="1">
      <alignment horizontal="center" vertical="center" wrapText="1"/>
    </xf>
    <xf numFmtId="0" fontId="23" fillId="0" borderId="60" xfId="0" applyFont="1" applyBorder="1" applyAlignment="1">
      <alignment horizontal="center" vertical="center"/>
    </xf>
    <xf numFmtId="0" fontId="23" fillId="0" borderId="61" xfId="0" applyFont="1" applyBorder="1" applyAlignment="1">
      <alignment horizontal="center" vertical="center"/>
    </xf>
    <xf numFmtId="0" fontId="23" fillId="0" borderId="67" xfId="0" applyFont="1" applyBorder="1" applyAlignment="1">
      <alignment horizontal="center" vertical="center"/>
    </xf>
    <xf numFmtId="0" fontId="0" fillId="0" borderId="12" xfId="0" applyFont="1" applyBorder="1" applyAlignment="1">
      <alignment horizontal="center" vertical="center" wrapText="1"/>
    </xf>
    <xf numFmtId="0" fontId="23" fillId="0" borderId="73" xfId="0" applyFont="1" applyBorder="1" applyAlignment="1">
      <alignment horizontal="center" vertical="center"/>
    </xf>
    <xf numFmtId="0" fontId="23" fillId="0" borderId="43" xfId="0" applyFont="1" applyBorder="1" applyAlignment="1">
      <alignment horizontal="center" vertical="center"/>
    </xf>
    <xf numFmtId="49" fontId="0" fillId="0" borderId="12" xfId="0" applyNumberFormat="1" applyFont="1" applyBorder="1" applyAlignment="1">
      <alignment vertical="center" wrapText="1"/>
    </xf>
    <xf numFmtId="49" fontId="0" fillId="0" borderId="12" xfId="0" applyNumberFormat="1" applyFont="1" applyBorder="1" applyAlignment="1">
      <alignment horizontal="left" vertical="center" wrapText="1"/>
    </xf>
    <xf numFmtId="49" fontId="0" fillId="0" borderId="17" xfId="0" applyNumberFormat="1" applyFont="1" applyBorder="1" applyAlignment="1">
      <alignment horizontal="center" vertical="center" wrapText="1"/>
    </xf>
    <xf numFmtId="49" fontId="0" fillId="0" borderId="36" xfId="0" applyNumberFormat="1" applyFont="1" applyBorder="1" applyAlignment="1">
      <alignment horizontal="center" vertical="center" wrapText="1"/>
    </xf>
    <xf numFmtId="49" fontId="0" fillId="0" borderId="23" xfId="0" applyNumberFormat="1" applyFont="1" applyBorder="1" applyAlignment="1">
      <alignment horizontal="center" vertical="center" wrapText="1"/>
    </xf>
    <xf numFmtId="49" fontId="0" fillId="0" borderId="12" xfId="0" applyNumberFormat="1" applyFont="1" applyBorder="1" applyAlignment="1">
      <alignment horizontal="center" vertical="center" wrapText="1"/>
    </xf>
    <xf numFmtId="0" fontId="0" fillId="34" borderId="12" xfId="0" applyFont="1" applyFill="1" applyBorder="1" applyAlignment="1">
      <alignment horizontal="center" vertical="center" wrapText="1"/>
    </xf>
    <xf numFmtId="49" fontId="0" fillId="0" borderId="12" xfId="0" applyNumberFormat="1" applyFont="1" applyBorder="1" applyAlignment="1">
      <alignment horizontal="center" vertical="center"/>
    </xf>
    <xf numFmtId="49" fontId="23" fillId="0" borderId="14" xfId="0" applyNumberFormat="1" applyFont="1" applyBorder="1" applyAlignment="1">
      <alignment horizontal="center" vertical="center" wrapText="1"/>
    </xf>
    <xf numFmtId="49" fontId="23" fillId="0" borderId="15" xfId="0" applyNumberFormat="1" applyFont="1" applyBorder="1" applyAlignment="1">
      <alignment horizontal="center" vertical="center" wrapText="1"/>
    </xf>
    <xf numFmtId="49" fontId="23" fillId="0" borderId="13" xfId="0" applyNumberFormat="1" applyFont="1" applyBorder="1" applyAlignment="1">
      <alignment horizontal="center" vertical="center" wrapText="1"/>
    </xf>
    <xf numFmtId="0" fontId="23" fillId="0" borderId="20" xfId="0" applyFont="1" applyBorder="1" applyAlignment="1">
      <alignment horizontal="left" vertical="top" wrapText="1"/>
    </xf>
    <xf numFmtId="0" fontId="23" fillId="35" borderId="13" xfId="0" applyFont="1" applyFill="1" applyBorder="1" applyAlignment="1">
      <alignment horizontal="center" vertical="center" wrapText="1"/>
    </xf>
    <xf numFmtId="0" fontId="23" fillId="41" borderId="12" xfId="0" applyFont="1" applyFill="1" applyBorder="1" applyAlignment="1">
      <alignment horizontal="center" vertical="center" wrapText="1"/>
    </xf>
    <xf numFmtId="0" fontId="23" fillId="35" borderId="29" xfId="0" applyFont="1" applyFill="1" applyBorder="1" applyAlignment="1">
      <alignment horizontal="center" vertical="center" wrapText="1"/>
    </xf>
    <xf numFmtId="0" fontId="23" fillId="41" borderId="13" xfId="0" applyFont="1" applyFill="1" applyBorder="1" applyAlignment="1">
      <alignment horizontal="center" vertical="center" wrapText="1"/>
    </xf>
    <xf numFmtId="49" fontId="23" fillId="35" borderId="12" xfId="0" applyNumberFormat="1" applyFont="1" applyFill="1" applyBorder="1" applyAlignment="1">
      <alignment horizontal="center" vertical="center" wrapText="1"/>
    </xf>
    <xf numFmtId="49" fontId="23" fillId="41" borderId="12" xfId="0" applyNumberFormat="1" applyFont="1" applyFill="1" applyBorder="1" applyAlignment="1">
      <alignment horizontal="center" vertical="center" wrapText="1"/>
    </xf>
    <xf numFmtId="49" fontId="47" fillId="47" borderId="14" xfId="0" applyNumberFormat="1" applyFont="1" applyFill="1" applyBorder="1" applyAlignment="1">
      <alignment horizontal="center" vertical="center" wrapText="1"/>
    </xf>
    <xf numFmtId="49" fontId="47" fillId="47" borderId="15" xfId="0" applyNumberFormat="1" applyFont="1" applyFill="1" applyBorder="1" applyAlignment="1">
      <alignment horizontal="center" vertical="center" wrapText="1"/>
    </xf>
    <xf numFmtId="49" fontId="47" fillId="47" borderId="13" xfId="0" applyNumberFormat="1" applyFont="1" applyFill="1" applyBorder="1" applyAlignment="1">
      <alignment horizontal="center" vertical="center" wrapText="1"/>
    </xf>
    <xf numFmtId="49" fontId="47" fillId="50" borderId="14" xfId="0" applyNumberFormat="1" applyFont="1" applyFill="1" applyBorder="1" applyAlignment="1">
      <alignment horizontal="center" vertical="center" wrapText="1"/>
    </xf>
    <xf numFmtId="49" fontId="47" fillId="50" borderId="15" xfId="0" applyNumberFormat="1" applyFont="1" applyFill="1" applyBorder="1" applyAlignment="1">
      <alignment horizontal="center" vertical="center" wrapText="1"/>
    </xf>
    <xf numFmtId="49" fontId="47" fillId="50" borderId="13" xfId="0" applyNumberFormat="1" applyFont="1" applyFill="1" applyBorder="1" applyAlignment="1">
      <alignment horizontal="center" vertical="center" wrapText="1"/>
    </xf>
    <xf numFmtId="49" fontId="23" fillId="51" borderId="14" xfId="0" applyNumberFormat="1" applyFont="1" applyFill="1" applyBorder="1" applyAlignment="1">
      <alignment horizontal="center" vertical="center" wrapText="1"/>
    </xf>
    <xf numFmtId="49" fontId="23" fillId="51" borderId="15" xfId="0" applyNumberFormat="1" applyFont="1" applyFill="1" applyBorder="1" applyAlignment="1">
      <alignment horizontal="center" vertical="center" wrapText="1"/>
    </xf>
    <xf numFmtId="49" fontId="23" fillId="41" borderId="19" xfId="0" applyNumberFormat="1" applyFont="1" applyFill="1" applyBorder="1" applyAlignment="1">
      <alignment horizontal="center" vertical="center" wrapText="1"/>
    </xf>
    <xf numFmtId="49" fontId="23" fillId="41" borderId="0" xfId="0" applyNumberFormat="1" applyFont="1" applyFill="1" applyAlignment="1">
      <alignment horizontal="center" vertical="center" wrapText="1"/>
    </xf>
    <xf numFmtId="49" fontId="23" fillId="41" borderId="27" xfId="0" applyNumberFormat="1" applyFont="1" applyFill="1" applyBorder="1" applyAlignment="1">
      <alignment horizontal="center" vertical="center" wrapText="1"/>
    </xf>
    <xf numFmtId="0" fontId="23" fillId="49" borderId="14" xfId="0" applyFont="1" applyFill="1" applyBorder="1" applyAlignment="1">
      <alignment horizontal="center" vertical="center" wrapText="1"/>
    </xf>
    <xf numFmtId="0" fontId="23" fillId="49" borderId="15" xfId="0" applyFont="1" applyFill="1" applyBorder="1" applyAlignment="1">
      <alignment horizontal="center" vertical="center" wrapText="1"/>
    </xf>
    <xf numFmtId="0" fontId="23" fillId="49" borderId="13" xfId="0" applyFont="1" applyFill="1" applyBorder="1" applyAlignment="1">
      <alignment horizontal="center" vertical="center" wrapText="1"/>
    </xf>
    <xf numFmtId="0" fontId="23" fillId="41" borderId="14" xfId="0" applyFont="1" applyFill="1" applyBorder="1" applyAlignment="1">
      <alignment horizontal="center" vertical="center" wrapText="1"/>
    </xf>
    <xf numFmtId="0" fontId="23" fillId="0" borderId="20" xfId="0" applyFont="1" applyBorder="1" applyAlignment="1">
      <alignment horizontal="left" vertical="top" wrapText="1" indent="1"/>
    </xf>
    <xf numFmtId="0" fontId="23" fillId="0" borderId="17" xfId="0" applyFont="1" applyBorder="1" applyAlignment="1">
      <alignment horizontal="left" vertical="top" wrapText="1" indent="1"/>
    </xf>
    <xf numFmtId="0" fontId="23" fillId="0" borderId="37" xfId="0" applyFont="1" applyBorder="1" applyAlignment="1">
      <alignment horizontal="left" vertical="top" wrapText="1" indent="1"/>
    </xf>
    <xf numFmtId="0" fontId="23" fillId="0" borderId="29" xfId="0" applyFont="1" applyBorder="1" applyAlignment="1">
      <alignment horizontal="left" vertical="center" wrapText="1" indent="1"/>
    </xf>
    <xf numFmtId="0" fontId="23" fillId="0" borderId="23" xfId="0" applyFont="1" applyBorder="1" applyAlignment="1">
      <alignment horizontal="left" vertical="center" wrapText="1" indent="1"/>
    </xf>
    <xf numFmtId="0" fontId="23" fillId="0" borderId="30" xfId="0" applyFont="1" applyBorder="1" applyAlignment="1">
      <alignment horizontal="left" vertical="center" wrapText="1" indent="1"/>
    </xf>
    <xf numFmtId="0" fontId="0" fillId="0" borderId="12" xfId="0" applyFont="1" applyBorder="1" applyAlignment="1">
      <alignment horizontal="left" vertical="center" wrapText="1"/>
    </xf>
    <xf numFmtId="0" fontId="0" fillId="0" borderId="12" xfId="0" applyFont="1" applyBorder="1" applyAlignment="1">
      <alignment horizontal="left" vertical="center" wrapText="1"/>
    </xf>
    <xf numFmtId="0" fontId="39" fillId="35" borderId="24" xfId="0" applyFont="1" applyFill="1" applyBorder="1" applyAlignment="1">
      <alignment horizontal="center" vertical="top" wrapText="1"/>
    </xf>
    <xf numFmtId="49" fontId="0" fillId="35" borderId="23" xfId="0" applyNumberFormat="1" applyFont="1" applyFill="1" applyBorder="1" applyAlignment="1">
      <alignment horizontal="center" vertical="center" wrapText="1"/>
    </xf>
    <xf numFmtId="0" fontId="0" fillId="34" borderId="23" xfId="0" applyFont="1" applyFill="1" applyBorder="1" applyAlignment="1">
      <alignment horizontal="left" vertical="center" wrapText="1" indent="1"/>
    </xf>
    <xf numFmtId="0" fontId="23" fillId="0" borderId="15" xfId="0" applyFont="1" applyBorder="1" applyAlignment="1">
      <alignment horizontal="left" vertical="top" wrapText="1" indent="1"/>
    </xf>
    <xf numFmtId="0" fontId="39" fillId="35" borderId="0" xfId="0" applyFont="1" applyFill="1" applyAlignment="1">
      <alignment horizontal="center" vertical="top" wrapText="1"/>
    </xf>
    <xf numFmtId="49" fontId="36" fillId="35" borderId="19" xfId="0" applyNumberFormat="1" applyFont="1" applyFill="1" applyBorder="1" applyAlignment="1">
      <alignment horizontal="center" vertical="center" wrapText="1"/>
    </xf>
    <xf numFmtId="0" fontId="0" fillId="0" borderId="17" xfId="0" applyFont="1" applyBorder="1" applyAlignment="1">
      <alignment horizontal="left" vertical="center" wrapText="1"/>
    </xf>
    <xf numFmtId="0" fontId="0" fillId="0" borderId="17" xfId="0" applyFont="1" applyBorder="1" applyAlignment="1">
      <alignment horizontal="left" vertical="center" wrapText="1"/>
    </xf>
    <xf numFmtId="0" fontId="0" fillId="34" borderId="14" xfId="0" applyFont="1" applyFill="1" applyBorder="1" applyAlignment="1">
      <alignment horizontal="left" vertical="center" wrapText="1" indent="1"/>
    </xf>
    <xf numFmtId="0" fontId="0" fillId="35" borderId="17" xfId="0" applyFont="1" applyFill="1" applyBorder="1" applyAlignment="1">
      <alignment horizontal="left" vertical="top" wrapText="1"/>
    </xf>
    <xf numFmtId="0" fontId="0" fillId="35" borderId="36" xfId="0" applyFont="1" applyFill="1" applyBorder="1" applyAlignment="1">
      <alignment horizontal="left" vertical="top" wrapText="1"/>
    </xf>
    <xf numFmtId="0" fontId="0" fillId="35" borderId="23" xfId="0" applyFont="1" applyFill="1" applyBorder="1" applyAlignment="1">
      <alignment horizontal="left" vertical="top" wrapText="1"/>
    </xf>
    <xf numFmtId="4" fontId="23" fillId="0" borderId="17" xfId="0" applyNumberFormat="1" applyFont="1" applyBorder="1" applyAlignment="1">
      <alignment horizontal="center" vertical="center" wrapText="1"/>
    </xf>
    <xf numFmtId="4" fontId="23" fillId="0" borderId="23" xfId="0" applyNumberFormat="1" applyFont="1" applyBorder="1" applyAlignment="1">
      <alignment horizontal="center" vertical="center" wrapText="1"/>
    </xf>
    <xf numFmtId="4" fontId="23" fillId="0" borderId="36" xfId="0" applyNumberFormat="1" applyFont="1" applyBorder="1" applyAlignment="1">
      <alignment horizontal="center" vertical="center" wrapText="1"/>
    </xf>
    <xf numFmtId="0" fontId="23" fillId="0" borderId="29" xfId="0" applyFont="1" applyBorder="1" applyAlignment="1">
      <alignment horizontal="left" vertical="top" wrapText="1"/>
    </xf>
    <xf numFmtId="180" fontId="23" fillId="0" borderId="17" xfId="0" applyNumberFormat="1" applyFont="1" applyBorder="1" applyAlignment="1">
      <alignment horizontal="center" vertical="center" wrapText="1"/>
    </xf>
    <xf numFmtId="180" fontId="23" fillId="0" borderId="23" xfId="0" applyNumberFormat="1" applyFont="1" applyBorder="1" applyAlignment="1">
      <alignment horizontal="center" vertical="center" wrapText="1"/>
    </xf>
    <xf numFmtId="180" fontId="23" fillId="0" borderId="14" xfId="0" applyNumberFormat="1" applyFont="1" applyBorder="1" applyAlignment="1">
      <alignment horizontal="center" vertical="center" wrapText="1"/>
    </xf>
    <xf numFmtId="180" fontId="23" fillId="0" borderId="15" xfId="0" applyNumberFormat="1" applyFont="1" applyBorder="1" applyAlignment="1">
      <alignment horizontal="center" vertical="center" wrapText="1"/>
    </xf>
    <xf numFmtId="180" fontId="23" fillId="0" borderId="13" xfId="0" applyNumberFormat="1" applyFont="1" applyBorder="1" applyAlignment="1">
      <alignment horizontal="center" vertical="center" wrapText="1"/>
    </xf>
    <xf numFmtId="14" fontId="23" fillId="40" borderId="12" xfId="0" applyNumberFormat="1" applyFont="1" applyFill="1" applyBorder="1" applyAlignment="1">
      <alignment horizontal="left" vertical="center" wrapText="1"/>
    </xf>
    <xf numFmtId="49" fontId="23" fillId="40" borderId="14" xfId="0" applyNumberFormat="1" applyFont="1" applyFill="1" applyBorder="1" applyAlignment="1">
      <alignment horizontal="left" vertical="center" wrapText="1"/>
    </xf>
    <xf numFmtId="49" fontId="23" fillId="40" borderId="12" xfId="0" applyNumberFormat="1" applyFont="1" applyFill="1" applyBorder="1" applyAlignment="1">
      <alignment horizontal="left" vertical="center" wrapText="1"/>
    </xf>
    <xf numFmtId="0" fontId="23" fillId="34" borderId="29" xfId="0" applyFont="1" applyFill="1" applyBorder="1" applyAlignment="1">
      <alignment horizontal="left" vertical="center" wrapText="1"/>
    </xf>
    <xf numFmtId="14" fontId="23" fillId="40" borderId="23" xfId="0" applyNumberFormat="1" applyFont="1" applyFill="1" applyBorder="1" applyAlignment="1">
      <alignment horizontal="left" vertical="center" wrapText="1"/>
    </xf>
    <xf numFmtId="49" fontId="23" fillId="0" borderId="12" xfId="0" applyNumberFormat="1" applyFont="1" applyBorder="1" applyAlignment="1">
      <alignment horizontal="left" vertical="top" wrapText="1"/>
    </xf>
    <xf numFmtId="49" fontId="128" fillId="0" borderId="12" xfId="0" applyNumberFormat="1" applyFont="1" applyBorder="1" applyAlignment="1">
      <alignment horizontal="left" vertical="top" wrapText="1"/>
    </xf>
    <xf numFmtId="0" fontId="23" fillId="0" borderId="15" xfId="0" applyFont="1" applyBorder="1" applyAlignment="1">
      <alignment horizontal="left" vertical="center" wrapText="1"/>
    </xf>
    <xf numFmtId="180" fontId="23" fillId="0" borderId="36" xfId="0" applyNumberFormat="1" applyFont="1" applyBorder="1" applyAlignment="1">
      <alignment horizontal="center" vertical="center" wrapText="1"/>
    </xf>
    <xf numFmtId="180" fontId="23" fillId="0" borderId="12" xfId="0" applyNumberFormat="1" applyFont="1" applyBorder="1" applyAlignment="1">
      <alignment horizontal="center" vertical="center" wrapText="1"/>
    </xf>
    <xf numFmtId="180" fontId="45" fillId="0" borderId="19" xfId="0" applyNumberFormat="1" applyFont="1" applyBorder="1" applyAlignment="1">
      <alignment horizontal="center" vertical="center" wrapText="1"/>
    </xf>
    <xf numFmtId="49" fontId="23" fillId="40" borderId="30" xfId="0" applyNumberFormat="1" applyFont="1" applyFill="1" applyBorder="1" applyAlignment="1">
      <alignment horizontal="left" vertical="center" wrapText="1"/>
    </xf>
    <xf numFmtId="49" fontId="23" fillId="40" borderId="23" xfId="0" applyNumberFormat="1" applyFont="1" applyFill="1" applyBorder="1" applyAlignment="1">
      <alignment horizontal="left" vertical="center" wrapText="1"/>
    </xf>
    <xf numFmtId="49" fontId="23" fillId="0" borderId="0" xfId="0" applyNumberFormat="1" applyFont="1" applyAlignment="1">
      <alignment horizontal="left" vertical="top" wrapText="1"/>
    </xf>
    <xf numFmtId="0" fontId="23" fillId="0" borderId="13" xfId="0" applyFont="1" applyBorder="1" applyAlignment="1">
      <alignment horizontal="left" vertical="center" wrapText="1" indent="1"/>
    </xf>
    <xf numFmtId="0" fontId="23" fillId="0" borderId="14" xfId="0" applyFont="1" applyBorder="1" applyAlignment="1">
      <alignment horizontal="left" vertical="center" wrapText="1" indent="1"/>
    </xf>
    <xf numFmtId="49" fontId="23" fillId="0" borderId="0" xfId="0" applyNumberFormat="1" applyFont="1" applyAlignment="1">
      <alignment horizontal="left" vertical="top" wrapText="1"/>
    </xf>
    <xf numFmtId="49" fontId="0" fillId="0" borderId="15" xfId="0" applyNumberFormat="1" applyFont="1" applyBorder="1" applyAlignment="1">
      <alignment horizontal="left" vertical="center" indent="1"/>
    </xf>
    <xf numFmtId="49" fontId="23" fillId="36" borderId="12" xfId="0" applyNumberFormat="1" applyFont="1" applyFill="1" applyBorder="1" applyAlignment="1" applyProtection="1">
      <alignment horizontal="left" vertical="center" wrapText="1"/>
      <protection locked="0"/>
    </xf>
    <xf numFmtId="49" fontId="0" fillId="39" borderId="12" xfId="0" applyNumberFormat="1" applyFont="1" applyFill="1" applyBorder="1" applyAlignment="1" applyProtection="1">
      <alignment horizontal="left" vertical="center" wrapText="1"/>
      <protection locked="0"/>
    </xf>
    <xf numFmtId="49" fontId="0" fillId="0" borderId="12" xfId="0" applyNumberFormat="1" applyFont="1" applyBorder="1" applyAlignment="1">
      <alignment vertical="top"/>
    </xf>
    <xf numFmtId="0" fontId="0" fillId="40" borderId="12" xfId="0" applyFont="1" applyFill="1" applyBorder="1" applyAlignment="1">
      <alignment horizontal="left" vertical="center" wrapText="1"/>
    </xf>
    <xf numFmtId="49" fontId="0" fillId="40" borderId="12" xfId="0" applyNumberFormat="1" applyFont="1" applyFill="1" applyBorder="1" applyAlignment="1">
      <alignment horizontal="left" vertical="center" wrapText="1"/>
    </xf>
    <xf numFmtId="3" fontId="23" fillId="39" borderId="12" xfId="0" applyNumberFormat="1" applyFont="1" applyFill="1" applyBorder="1" applyAlignment="1" applyProtection="1">
      <alignment horizontal="center" vertical="center" wrapText="1"/>
      <protection locked="0"/>
    </xf>
    <xf numFmtId="49" fontId="23" fillId="40" borderId="14" xfId="0" applyNumberFormat="1" applyFont="1" applyFill="1" applyBorder="1" applyAlignment="1">
      <alignment horizontal="center" vertical="center" wrapText="1"/>
    </xf>
    <xf numFmtId="49" fontId="124" fillId="0" borderId="12" xfId="0" applyNumberFormat="1" applyFont="1" applyBorder="1" applyAlignment="1">
      <alignment horizontal="center" vertical="center" wrapText="1"/>
    </xf>
    <xf numFmtId="0" fontId="45" fillId="0" borderId="13" xfId="0" applyFont="1" applyBorder="1" applyAlignment="1">
      <alignment horizontal="center" vertical="center"/>
    </xf>
    <xf numFmtId="49" fontId="23" fillId="40" borderId="17" xfId="0" applyNumberFormat="1" applyFont="1" applyFill="1" applyBorder="1" applyAlignment="1">
      <alignment horizontal="left" vertical="center" wrapText="1" indent="1"/>
    </xf>
    <xf numFmtId="49" fontId="23" fillId="40" borderId="36" xfId="0" applyNumberFormat="1" applyFont="1" applyFill="1" applyBorder="1" applyAlignment="1">
      <alignment horizontal="left" vertical="center" wrapText="1" indent="1"/>
    </xf>
    <xf numFmtId="49" fontId="23" fillId="40" borderId="23" xfId="0" applyNumberFormat="1" applyFont="1" applyFill="1" applyBorder="1" applyAlignment="1">
      <alignment horizontal="left" vertical="center" wrapText="1" indent="1"/>
    </xf>
    <xf numFmtId="49" fontId="23" fillId="0" borderId="12" xfId="0" applyNumberFormat="1" applyFont="1" applyBorder="1" applyAlignment="1">
      <alignment horizontal="left" vertical="center" wrapText="1"/>
    </xf>
    <xf numFmtId="49" fontId="23" fillId="34" borderId="12" xfId="0" applyNumberFormat="1" applyFont="1" applyFill="1" applyBorder="1" applyAlignment="1">
      <alignment horizontal="left" vertical="center" wrapText="1"/>
    </xf>
    <xf numFmtId="49" fontId="23" fillId="0" borderId="13" xfId="0" applyNumberFormat="1" applyFont="1" applyBorder="1" applyAlignment="1">
      <alignment horizontal="center" vertical="center" wrapText="1"/>
    </xf>
    <xf numFmtId="49" fontId="23" fillId="40" borderId="13" xfId="0" applyNumberFormat="1" applyFont="1" applyFill="1" applyBorder="1" applyAlignment="1">
      <alignment horizontal="left" vertical="center" wrapText="1"/>
    </xf>
    <xf numFmtId="49" fontId="23" fillId="39" borderId="12" xfId="0" applyNumberFormat="1" applyFont="1" applyFill="1" applyBorder="1" applyAlignment="1" applyProtection="1">
      <alignment horizontal="left" vertical="center" wrapText="1"/>
      <protection locked="0"/>
    </xf>
    <xf numFmtId="0" fontId="40" fillId="37" borderId="15" xfId="0" applyFont="1" applyFill="1" applyBorder="1" applyAlignment="1">
      <alignment horizontal="left" vertical="center"/>
    </xf>
    <xf numFmtId="0" fontId="40" fillId="37" borderId="13" xfId="0" applyFont="1" applyFill="1" applyBorder="1" applyAlignment="1">
      <alignment horizontal="left" vertical="center"/>
    </xf>
    <xf numFmtId="0" fontId="40" fillId="37" borderId="19" xfId="0" applyFont="1" applyFill="1" applyBorder="1" applyAlignment="1">
      <alignment horizontal="left" vertical="center"/>
    </xf>
    <xf numFmtId="0" fontId="40" fillId="37" borderId="20" xfId="0" applyFont="1" applyFill="1" applyBorder="1" applyAlignment="1">
      <alignment horizontal="left" vertical="center"/>
    </xf>
    <xf numFmtId="49" fontId="23" fillId="39" borderId="17" xfId="0" applyNumberFormat="1" applyFont="1" applyFill="1" applyBorder="1" applyAlignment="1" applyProtection="1">
      <alignment horizontal="left" vertical="center" wrapText="1"/>
      <protection locked="0"/>
    </xf>
    <xf numFmtId="49" fontId="23" fillId="0" borderId="36" xfId="0" applyNumberFormat="1" applyFont="1" applyBorder="1" applyAlignment="1">
      <alignment horizontal="center" vertical="center"/>
    </xf>
    <xf numFmtId="0" fontId="23" fillId="40" borderId="17" xfId="0" applyFont="1" applyFill="1" applyBorder="1" applyAlignment="1">
      <alignment horizontal="left" vertical="center" wrapText="1"/>
    </xf>
    <xf numFmtId="0" fontId="23" fillId="40" borderId="36" xfId="0" applyFont="1" applyFill="1" applyBorder="1" applyAlignment="1">
      <alignment horizontal="left" vertical="center" wrapText="1"/>
    </xf>
    <xf numFmtId="49" fontId="23" fillId="40" borderId="17" xfId="0" applyNumberFormat="1" applyFont="1" applyFill="1" applyBorder="1" applyAlignment="1">
      <alignment horizontal="left" vertical="center" wrapText="1"/>
    </xf>
    <xf numFmtId="0" fontId="23" fillId="0" borderId="24" xfId="0" applyFont="1" applyBorder="1" applyAlignment="1">
      <alignment horizontal="center" vertical="center"/>
    </xf>
    <xf numFmtId="49" fontId="23" fillId="36" borderId="17" xfId="0" applyNumberFormat="1" applyFont="1" applyFill="1" applyBorder="1" applyAlignment="1" applyProtection="1">
      <alignment horizontal="left" vertical="center" wrapText="1"/>
      <protection locked="0"/>
    </xf>
    <xf numFmtId="0" fontId="0" fillId="0" borderId="12" xfId="0" applyFont="1" applyBorder="1" applyAlignment="1">
      <alignment horizontal="center" vertical="center"/>
    </xf>
    <xf numFmtId="49" fontId="0" fillId="0" borderId="12" xfId="0" applyNumberFormat="1" applyFont="1" applyBorder="1" applyAlignment="1">
      <alignment horizontal="left" vertical="top"/>
    </xf>
    <xf numFmtId="0" fontId="23" fillId="40" borderId="12" xfId="0" applyFont="1" applyFill="1" applyBorder="1" applyAlignment="1">
      <alignment horizontal="left" vertical="top" wrapText="1"/>
    </xf>
    <xf numFmtId="49" fontId="0" fillId="40" borderId="12" xfId="0" applyNumberFormat="1" applyFont="1" applyFill="1" applyBorder="1" applyAlignment="1">
      <alignment horizontal="left" vertical="top"/>
    </xf>
    <xf numFmtId="49" fontId="0" fillId="36" borderId="12" xfId="0" applyNumberFormat="1" applyFont="1" applyFill="1" applyBorder="1" applyAlignment="1" applyProtection="1">
      <alignment horizontal="left" vertical="top"/>
      <protection locked="0"/>
    </xf>
    <xf numFmtId="49" fontId="47" fillId="0" borderId="14" xfId="0" applyNumberFormat="1" applyFont="1" applyBorder="1" applyAlignment="1">
      <alignment horizontal="center" vertical="center" wrapText="1"/>
    </xf>
    <xf numFmtId="49" fontId="40" fillId="37" borderId="51" xfId="0" applyNumberFormat="1" applyFont="1" applyFill="1" applyBorder="1" applyAlignment="1">
      <alignment horizontal="left" vertical="center" indent="1"/>
    </xf>
    <xf numFmtId="49" fontId="23" fillId="34" borderId="12" xfId="0" applyNumberFormat="1" applyFont="1" applyFill="1" applyBorder="1" applyAlignment="1">
      <alignment horizontal="center" vertical="center" wrapText="1"/>
    </xf>
    <xf numFmtId="49" fontId="23" fillId="34" borderId="74" xfId="0" applyNumberFormat="1" applyFont="1" applyFill="1" applyBorder="1" applyAlignment="1">
      <alignment horizontal="center" vertical="center" wrapText="1"/>
    </xf>
    <xf numFmtId="3" fontId="47" fillId="0" borderId="12" xfId="0" applyNumberFormat="1" applyFont="1" applyBorder="1" applyAlignment="1">
      <alignment horizontal="center" vertical="center" wrapText="1"/>
    </xf>
    <xf numFmtId="49" fontId="47" fillId="0" borderId="12" xfId="0" applyNumberFormat="1" applyFont="1" applyBorder="1" applyAlignment="1">
      <alignment horizontal="left" vertical="center" wrapText="1"/>
    </xf>
    <xf numFmtId="49" fontId="47" fillId="0" borderId="13" xfId="0" applyNumberFormat="1" applyFont="1" applyBorder="1" applyAlignment="1">
      <alignment horizontal="center" vertical="center" wrapText="1"/>
    </xf>
    <xf numFmtId="49" fontId="47" fillId="0" borderId="13" xfId="0" applyNumberFormat="1" applyFont="1" applyBorder="1" applyAlignment="1">
      <alignment horizontal="left" vertical="center" wrapText="1"/>
    </xf>
    <xf numFmtId="49" fontId="47" fillId="0" borderId="12" xfId="0" applyNumberFormat="1" applyFont="1" applyBorder="1" applyAlignment="1">
      <alignment horizontal="left" vertical="center" wrapText="1"/>
    </xf>
    <xf numFmtId="49" fontId="126" fillId="0" borderId="13" xfId="0" applyNumberFormat="1" applyFont="1" applyBorder="1" applyAlignment="1">
      <alignment horizontal="center" vertical="center" wrapText="1"/>
    </xf>
    <xf numFmtId="0" fontId="95" fillId="0" borderId="12" xfId="0" applyFont="1" applyBorder="1" applyAlignment="1">
      <alignment horizontal="center" vertical="center"/>
    </xf>
    <xf numFmtId="49" fontId="23" fillId="40" borderId="12" xfId="0" applyNumberFormat="1" applyFont="1" applyFill="1" applyBorder="1" applyAlignment="1">
      <alignment horizontal="center" vertical="top" wrapText="1"/>
    </xf>
    <xf numFmtId="49" fontId="23" fillId="40" borderId="14" xfId="0" applyNumberFormat="1" applyFont="1" applyFill="1" applyBorder="1" applyAlignment="1">
      <alignment horizontal="center" vertical="top" wrapText="1"/>
    </xf>
    <xf numFmtId="0" fontId="23" fillId="36" borderId="12" xfId="0" applyFont="1" applyFill="1" applyBorder="1" applyAlignment="1" applyProtection="1">
      <alignment horizontal="left" vertical="top" wrapText="1"/>
      <protection locked="0"/>
    </xf>
    <xf numFmtId="179" fontId="0" fillId="36" borderId="12" xfId="0" applyNumberFormat="1" applyFont="1" applyFill="1" applyBorder="1" applyAlignment="1" applyProtection="1">
      <alignment horizontal="center" vertical="top" wrapText="1"/>
      <protection locked="0"/>
    </xf>
    <xf numFmtId="49" fontId="0" fillId="36" borderId="12" xfId="0" applyNumberFormat="1" applyFont="1" applyFill="1" applyBorder="1" applyAlignment="1" applyProtection="1">
      <alignment horizontal="center" vertical="top" wrapText="1"/>
      <protection locked="0"/>
    </xf>
    <xf numFmtId="49" fontId="23" fillId="39" borderId="12" xfId="0" applyNumberFormat="1" applyFont="1" applyFill="1" applyBorder="1" applyAlignment="1" applyProtection="1">
      <alignment horizontal="left" vertical="top" wrapText="1"/>
      <protection locked="0"/>
    </xf>
    <xf numFmtId="49" fontId="0" fillId="34" borderId="12" xfId="0" applyNumberFormat="1" applyFont="1" applyFill="1" applyBorder="1" applyAlignment="1">
      <alignment horizontal="center" vertical="top" wrapText="1"/>
    </xf>
    <xf numFmtId="0" fontId="23" fillId="34" borderId="12" xfId="0" applyFont="1" applyFill="1" applyBorder="1" applyAlignment="1">
      <alignment horizontal="center" vertical="top" wrapText="1"/>
    </xf>
    <xf numFmtId="0" fontId="0" fillId="0" borderId="12" xfId="0" applyFont="1" applyBorder="1" applyAlignment="1">
      <alignment horizontal="center" vertical="center"/>
    </xf>
    <xf numFmtId="0" fontId="0" fillId="0" borderId="37" xfId="0" applyFont="1" applyBorder="1" applyAlignment="1">
      <alignment horizontal="center" vertical="center"/>
    </xf>
    <xf numFmtId="0" fontId="0" fillId="0" borderId="22" xfId="0" applyFont="1" applyBorder="1" applyAlignment="1">
      <alignment horizontal="center" vertical="center"/>
    </xf>
    <xf numFmtId="49" fontId="0" fillId="0" borderId="0" xfId="0" applyNumberFormat="1" applyFont="1" applyAlignment="1">
      <alignment horizontal="left" vertical="top"/>
    </xf>
    <xf numFmtId="14" fontId="82" fillId="0" borderId="17" xfId="0" applyNumberFormat="1" applyFont="1" applyBorder="1" applyAlignment="1">
      <alignment horizontal="center" vertical="center" wrapText="1"/>
    </xf>
    <xf numFmtId="14" fontId="82" fillId="0" borderId="36" xfId="0" applyNumberFormat="1" applyFont="1" applyBorder="1" applyAlignment="1">
      <alignment horizontal="center" vertical="center" wrapText="1"/>
    </xf>
    <xf numFmtId="0" fontId="76" fillId="0" borderId="12" xfId="0" applyFont="1" applyBorder="1" applyAlignment="1">
      <alignment horizontal="left" vertical="center" wrapText="1" indent="1"/>
    </xf>
    <xf numFmtId="0" fontId="76" fillId="0" borderId="12" xfId="0" applyFont="1" applyBorder="1" applyAlignment="1">
      <alignment horizontal="left" vertical="top" indent="1"/>
    </xf>
    <xf numFmtId="0" fontId="36" fillId="0" borderId="12" xfId="0" applyFont="1" applyBorder="1" applyAlignment="1">
      <alignment horizontal="center" vertical="center" wrapText="1"/>
    </xf>
    <xf numFmtId="0" fontId="23" fillId="40" borderId="12" xfId="0" applyFont="1" applyFill="1" applyBorder="1" applyAlignment="1">
      <alignment horizontal="left" vertical="center" wrapText="1" indent="1"/>
    </xf>
    <xf numFmtId="49" fontId="0" fillId="0" borderId="19" xfId="0" applyNumberFormat="1" applyFont="1" applyBorder="1" applyAlignment="1">
      <alignment horizontal="left" vertical="center" wrapText="1"/>
    </xf>
    <xf numFmtId="49" fontId="0" fillId="0" borderId="0" xfId="0" applyNumberFormat="1" applyFont="1" applyAlignment="1">
      <alignment horizontal="left" vertical="center" wrapText="1"/>
    </xf>
    <xf numFmtId="0" fontId="0" fillId="0" borderId="19" xfId="0" applyFont="1" applyBorder="1" applyAlignment="1">
      <alignment horizontal="left" vertical="center" wrapText="1"/>
    </xf>
    <xf numFmtId="0" fontId="0" fillId="0" borderId="0" xfId="0" applyFont="1" applyAlignment="1">
      <alignment horizontal="left" vertical="center" wrapText="1"/>
    </xf>
    <xf numFmtId="0" fontId="0" fillId="0" borderId="19" xfId="0" applyFont="1" applyBorder="1" applyAlignment="1">
      <alignment horizontal="center" vertical="center"/>
    </xf>
    <xf numFmtId="0" fontId="0" fillId="0" borderId="0" xfId="0" applyFont="1" applyAlignment="1">
      <alignment horizontal="center" vertical="center"/>
    </xf>
    <xf numFmtId="0" fontId="0" fillId="39" borderId="12" xfId="0" applyFont="1" applyFill="1" applyBorder="1" applyAlignment="1" applyProtection="1">
      <alignment horizontal="left" vertical="center" wrapText="1"/>
      <protection locked="0"/>
    </xf>
    <xf numFmtId="49" fontId="0" fillId="39" borderId="14" xfId="0" applyNumberFormat="1" applyFont="1" applyFill="1" applyBorder="1" applyAlignment="1" applyProtection="1">
      <alignment horizontal="left" vertical="center" wrapText="1"/>
      <protection locked="0"/>
    </xf>
    <xf numFmtId="49" fontId="0" fillId="39" borderId="12" xfId="0" applyNumberFormat="1" applyFont="1" applyFill="1" applyBorder="1" applyAlignment="1" applyProtection="1">
      <alignment horizontal="left" vertical="center" wrapText="1"/>
      <protection locked="0"/>
    </xf>
    <xf numFmtId="49" fontId="37" fillId="0" borderId="17" xfId="0" applyNumberFormat="1" applyFont="1" applyBorder="1" applyAlignment="1">
      <alignment horizontal="center" vertical="top" wrapText="1"/>
    </xf>
    <xf numFmtId="49" fontId="23" fillId="0" borderId="36" xfId="0" applyNumberFormat="1" applyFont="1" applyBorder="1" applyAlignment="1">
      <alignment horizontal="center" vertical="top" wrapText="1"/>
    </xf>
    <xf numFmtId="49" fontId="23" fillId="0" borderId="23" xfId="0" applyNumberFormat="1" applyFont="1" applyBorder="1" applyAlignment="1">
      <alignment horizontal="center" vertical="top" wrapText="1"/>
    </xf>
    <xf numFmtId="49" fontId="23" fillId="39" borderId="14" xfId="0" applyNumberFormat="1" applyFont="1" applyFill="1" applyBorder="1" applyAlignment="1" applyProtection="1">
      <alignment horizontal="left" vertical="center" wrapText="1" indent="1"/>
      <protection locked="0"/>
    </xf>
    <xf numFmtId="49" fontId="23" fillId="39" borderId="12" xfId="0" applyNumberFormat="1" applyFont="1" applyFill="1" applyBorder="1" applyAlignment="1" applyProtection="1">
      <alignment horizontal="left" vertical="center" wrapText="1" indent="1"/>
      <protection locked="0"/>
    </xf>
    <xf numFmtId="0" fontId="0" fillId="0" borderId="12" xfId="0" applyFont="1" applyBorder="1" applyAlignment="1">
      <alignment horizontal="center" vertical="center" wrapText="1"/>
    </xf>
    <xf numFmtId="49" fontId="23" fillId="0" borderId="17" xfId="0" applyNumberFormat="1" applyFont="1" applyBorder="1" applyAlignment="1">
      <alignment horizontal="center" vertical="center" wrapText="1"/>
    </xf>
    <xf numFmtId="49" fontId="23" fillId="0" borderId="36" xfId="0" applyNumberFormat="1" applyFont="1" applyBorder="1" applyAlignment="1">
      <alignment horizontal="center" vertical="center" wrapText="1"/>
    </xf>
    <xf numFmtId="49" fontId="23" fillId="0" borderId="23" xfId="0" applyNumberFormat="1" applyFont="1" applyBorder="1" applyAlignment="1">
      <alignment horizontal="center" vertical="center" wrapText="1"/>
    </xf>
    <xf numFmtId="49" fontId="23" fillId="0" borderId="12" xfId="0" applyNumberFormat="1" applyFont="1" applyBorder="1" applyAlignment="1">
      <alignment horizontal="center" vertical="top" wrapText="1"/>
    </xf>
    <xf numFmtId="0" fontId="0" fillId="34" borderId="12" xfId="0" applyFont="1" applyFill="1" applyBorder="1" applyAlignment="1">
      <alignment horizontal="left" vertical="top" wrapText="1" indent="1"/>
    </xf>
    <xf numFmtId="49" fontId="23" fillId="40" borderId="17" xfId="0" applyNumberFormat="1" applyFont="1" applyFill="1" applyBorder="1" applyAlignment="1">
      <alignment horizontal="center" vertical="top" wrapText="1"/>
    </xf>
    <xf numFmtId="49" fontId="23" fillId="40" borderId="23" xfId="0" applyNumberFormat="1" applyFont="1" applyFill="1" applyBorder="1" applyAlignment="1">
      <alignment horizontal="center" vertical="top" wrapText="1"/>
    </xf>
    <xf numFmtId="179" fontId="0" fillId="39" borderId="12" xfId="0" applyNumberFormat="1" applyFont="1" applyFill="1" applyBorder="1" applyAlignment="1" applyProtection="1">
      <alignment horizontal="center" vertical="top" wrapText="1"/>
      <protection locked="0"/>
    </xf>
    <xf numFmtId="49" fontId="0" fillId="39" borderId="12" xfId="0" applyNumberFormat="1" applyFont="1" applyFill="1" applyBorder="1" applyAlignment="1" applyProtection="1">
      <alignment horizontal="center" vertical="top" wrapText="1"/>
      <protection locked="0"/>
    </xf>
    <xf numFmtId="49" fontId="23" fillId="40" borderId="12" xfId="0" applyNumberFormat="1" applyFont="1" applyFill="1" applyBorder="1" applyAlignment="1">
      <alignment horizontal="left" vertical="top" wrapText="1"/>
    </xf>
    <xf numFmtId="49" fontId="47" fillId="0" borderId="17" xfId="0" applyNumberFormat="1" applyFont="1" applyBorder="1" applyAlignment="1">
      <alignment horizontal="left" vertical="center" wrapText="1" indent="1"/>
    </xf>
    <xf numFmtId="49" fontId="47" fillId="0" borderId="36" xfId="0" applyNumberFormat="1" applyFont="1" applyBorder="1" applyAlignment="1">
      <alignment horizontal="left" vertical="center" wrapText="1" indent="1"/>
    </xf>
    <xf numFmtId="49" fontId="47" fillId="0" borderId="23" xfId="0" applyNumberFormat="1" applyFont="1" applyBorder="1" applyAlignment="1">
      <alignment horizontal="left" vertical="center" wrapText="1" indent="1"/>
    </xf>
    <xf numFmtId="0" fontId="45" fillId="0" borderId="12" xfId="0" applyFont="1" applyBorder="1" applyAlignment="1">
      <alignment horizontal="center" vertical="center"/>
    </xf>
    <xf numFmtId="49" fontId="96" fillId="0" borderId="12" xfId="0" applyNumberFormat="1" applyFont="1" applyBorder="1" applyAlignment="1">
      <alignment horizontal="center" vertical="top" wrapText="1"/>
    </xf>
    <xf numFmtId="0" fontId="96" fillId="41" borderId="12" xfId="0" applyFont="1" applyFill="1" applyBorder="1" applyAlignment="1">
      <alignment horizontal="center" vertical="center" wrapText="1"/>
    </xf>
    <xf numFmtId="49" fontId="96" fillId="0" borderId="37" xfId="0" applyNumberFormat="1" applyFont="1" applyBorder="1" applyAlignment="1">
      <alignment horizontal="center" vertical="top" wrapText="1"/>
    </xf>
    <xf numFmtId="49" fontId="96" fillId="0" borderId="30" xfId="0" applyNumberFormat="1" applyFont="1" applyBorder="1" applyAlignment="1">
      <alignment horizontal="center" vertical="top" wrapText="1"/>
    </xf>
    <xf numFmtId="49" fontId="96" fillId="0" borderId="14" xfId="0" applyNumberFormat="1" applyFont="1" applyBorder="1" applyAlignment="1">
      <alignment horizontal="center" vertical="top" wrapText="1"/>
    </xf>
    <xf numFmtId="49" fontId="96" fillId="0" borderId="15" xfId="0" applyNumberFormat="1" applyFont="1" applyBorder="1" applyAlignment="1">
      <alignment horizontal="center" vertical="top" wrapText="1"/>
    </xf>
    <xf numFmtId="49" fontId="96" fillId="0" borderId="13" xfId="0" applyNumberFormat="1" applyFont="1" applyBorder="1" applyAlignment="1">
      <alignment horizontal="center" vertical="top" wrapText="1"/>
    </xf>
    <xf numFmtId="49" fontId="96" fillId="0" borderId="17" xfId="0" applyNumberFormat="1" applyFont="1" applyBorder="1" applyAlignment="1">
      <alignment horizontal="center" vertical="top" wrapText="1"/>
    </xf>
    <xf numFmtId="49" fontId="96" fillId="0" borderId="36" xfId="0" applyNumberFormat="1" applyFont="1" applyBorder="1" applyAlignment="1">
      <alignment horizontal="center" vertical="top" wrapText="1"/>
    </xf>
    <xf numFmtId="49" fontId="96" fillId="0" borderId="23" xfId="0" applyNumberFormat="1" applyFont="1" applyBorder="1" applyAlignment="1">
      <alignment horizontal="center" vertical="top" wrapText="1"/>
    </xf>
    <xf numFmtId="179" fontId="0" fillId="39" borderId="12" xfId="0" applyNumberFormat="1" applyFont="1" applyFill="1" applyBorder="1" applyAlignment="1" applyProtection="1">
      <alignment horizontal="center" vertical="center" wrapText="1"/>
      <protection locked="0"/>
    </xf>
    <xf numFmtId="0" fontId="46" fillId="0" borderId="19" xfId="0" applyFont="1" applyBorder="1" applyAlignment="1">
      <alignment horizontal="left" vertical="center" wrapText="1" indent="1"/>
    </xf>
    <xf numFmtId="0" fontId="46" fillId="0" borderId="27" xfId="0" applyFont="1" applyBorder="1" applyAlignment="1">
      <alignment horizontal="left" vertical="center" wrapText="1" indent="1"/>
    </xf>
    <xf numFmtId="0" fontId="23" fillId="0" borderId="0" xfId="0" applyFont="1" applyAlignment="1">
      <alignment horizontal="right" vertical="center" wrapText="1"/>
    </xf>
    <xf numFmtId="4" fontId="23" fillId="34" borderId="12" xfId="0" applyNumberFormat="1" applyFont="1" applyFill="1" applyBorder="1" applyAlignment="1">
      <alignment horizontal="left" vertical="center" wrapText="1"/>
    </xf>
    <xf numFmtId="0" fontId="47" fillId="0" borderId="0" xfId="0" applyFont="1" applyAlignment="1">
      <alignment horizontal="center" vertical="center" wrapText="1"/>
    </xf>
    <xf numFmtId="49" fontId="0" fillId="0" borderId="12" xfId="0" applyNumberFormat="1" applyFont="1" applyBorder="1" applyAlignment="1">
      <alignment horizontal="center" vertical="top"/>
    </xf>
    <xf numFmtId="49" fontId="0" fillId="0" borderId="14" xfId="0" applyNumberFormat="1" applyFont="1" applyBorder="1" applyAlignment="1">
      <alignment horizontal="center" vertical="top"/>
    </xf>
    <xf numFmtId="0" fontId="47" fillId="0" borderId="17" xfId="0" applyFont="1" applyBorder="1" applyAlignment="1">
      <alignment horizontal="center" vertical="center" wrapText="1"/>
    </xf>
    <xf numFmtId="0" fontId="23" fillId="0" borderId="19" xfId="0" applyFont="1" applyBorder="1" applyAlignment="1">
      <alignment horizontal="center" vertical="center" wrapText="1"/>
    </xf>
    <xf numFmtId="0" fontId="23" fillId="0" borderId="27" xfId="0" applyFont="1" applyBorder="1" applyAlignment="1">
      <alignment horizontal="center" vertical="center" wrapText="1"/>
    </xf>
    <xf numFmtId="49" fontId="0" fillId="0" borderId="15" xfId="0" applyNumberFormat="1" applyFont="1" applyBorder="1" applyAlignment="1">
      <alignment horizontal="left" vertical="center" indent="1"/>
    </xf>
    <xf numFmtId="49" fontId="0" fillId="0" borderId="25" xfId="0" applyNumberFormat="1" applyFont="1" applyBorder="1" applyAlignment="1">
      <alignment horizontal="center" vertical="center"/>
    </xf>
    <xf numFmtId="49" fontId="0" fillId="0" borderId="12" xfId="75" applyNumberFormat="1" applyFont="1" applyBorder="1" applyAlignment="1">
      <alignment vertical="top"/>
      <protection/>
    </xf>
    <xf numFmtId="49" fontId="0" fillId="0" borderId="14" xfId="75" applyNumberFormat="1" applyFont="1" applyBorder="1" applyAlignment="1">
      <alignment vertical="top"/>
      <protection/>
    </xf>
    <xf numFmtId="49" fontId="0" fillId="0" borderId="12" xfId="75" applyNumberFormat="1" applyFont="1" applyBorder="1" applyAlignment="1">
      <alignment horizontal="center" vertical="top"/>
      <protection/>
    </xf>
    <xf numFmtId="49" fontId="0" fillId="0" borderId="14" xfId="75" applyNumberFormat="1" applyFont="1" applyBorder="1" applyAlignment="1">
      <alignment horizontal="center" vertical="top"/>
      <protection/>
    </xf>
    <xf numFmtId="49" fontId="0" fillId="43" borderId="17" xfId="75" applyNumberFormat="1" applyFont="1" applyFill="1" applyBorder="1" applyAlignment="1">
      <alignment vertical="top"/>
      <protection/>
    </xf>
    <xf numFmtId="49" fontId="0" fillId="44" borderId="12" xfId="75" applyNumberFormat="1" applyFont="1" applyFill="1" applyBorder="1" applyAlignment="1">
      <alignment vertical="top"/>
      <protection/>
    </xf>
    <xf numFmtId="49" fontId="0" fillId="0" borderId="15" xfId="75" applyNumberFormat="1" applyFont="1" applyBorder="1" applyAlignment="1">
      <alignment horizontal="center" vertical="top"/>
      <protection/>
    </xf>
    <xf numFmtId="49" fontId="0" fillId="3" borderId="12" xfId="75" applyNumberFormat="1" applyFont="1" applyFill="1" applyBorder="1" applyAlignment="1">
      <alignment vertical="top"/>
      <protection/>
    </xf>
    <xf numFmtId="49" fontId="0" fillId="45" borderId="12" xfId="75" applyNumberFormat="1" applyFont="1" applyFill="1" applyBorder="1" applyAlignment="1">
      <alignment vertical="top"/>
      <protection/>
    </xf>
    <xf numFmtId="49" fontId="0" fillId="16" borderId="17" xfId="75" applyNumberFormat="1" applyFont="1" applyFill="1" applyBorder="1" applyAlignment="1">
      <alignment vertical="top"/>
      <protection/>
    </xf>
    <xf numFmtId="49" fontId="0" fillId="5" borderId="14" xfId="75" applyNumberFormat="1" applyFont="1" applyFill="1" applyBorder="1" applyAlignment="1">
      <alignment vertical="top"/>
      <protection/>
    </xf>
    <xf numFmtId="49" fontId="0" fillId="5" borderId="12" xfId="75" applyNumberFormat="1" applyFont="1" applyFill="1" applyBorder="1" applyAlignment="1">
      <alignment vertical="top"/>
      <protection/>
    </xf>
    <xf numFmtId="49" fontId="0" fillId="16" borderId="12" xfId="75" applyNumberFormat="1" applyFont="1" applyFill="1" applyBorder="1" applyAlignment="1">
      <alignment vertical="top"/>
      <protection/>
    </xf>
    <xf numFmtId="0" fontId="30" fillId="0" borderId="0" xfId="0" applyFont="1"/>
    <xf numFmtId="49" fontId="28" fillId="39" borderId="12" xfId="0" applyNumberFormat="1" applyFont="1" applyFill="1" applyBorder="1" applyAlignment="1" applyProtection="1">
      <alignment horizontal="left" vertical="center" wrapText="1" indent="1"/>
      <protection locked="0"/>
    </xf>
    <xf numFmtId="49" fontId="76" fillId="39" borderId="12" xfId="0" applyNumberFormat="1" applyFont="1" applyFill="1" applyBorder="1" applyAlignment="1" applyProtection="1">
      <alignment horizontal="left" vertical="center" wrapText="1" indent="1"/>
      <protection locked="0"/>
    </xf>
    <xf numFmtId="49" fontId="54" fillId="39" borderId="12" xfId="0" applyNumberFormat="1" applyFont="1" applyFill="1" applyBorder="1" applyAlignment="1" applyProtection="1">
      <alignment horizontal="left" vertical="center" wrapText="1"/>
      <protection locked="0"/>
    </xf>
    <xf numFmtId="49" fontId="123" fillId="39" borderId="12" xfId="0" applyNumberFormat="1" applyFont="1" applyFill="1" applyBorder="1" applyAlignment="1">
      <alignment horizontal="left" vertical="center" wrapText="1"/>
    </xf>
    <xf numFmtId="0" fontId="30" fillId="0" borderId="0" xfId="0" applyFont="1"/>
    <xf numFmtId="49" fontId="23" fillId="39" borderId="14" xfId="0" applyNumberFormat="1" applyFont="1" applyFill="1" applyBorder="1" applyAlignment="1" applyProtection="1">
      <alignment horizontal="left" vertical="center" wrapText="1"/>
      <protection locked="0"/>
    </xf>
    <xf numFmtId="0" fontId="30" fillId="0" borderId="0" xfId="0" applyFont="1"/>
    <xf numFmtId="0" fontId="30" fillId="0" borderId="0" xfId="0" applyFont="1"/>
    <xf numFmtId="0" fontId="30" fillId="0" borderId="0" xfId="76" applyFont="1">
      <alignment/>
      <protection/>
    </xf>
  </cellXfs>
  <cellStyles count="64">
    <cellStyle name="Normal" xfId="0" builtinId="0"/>
    <cellStyle name="Percent" xfId="15" builtinId="5"/>
    <cellStyle name="Currency" xfId="16" builtinId="4"/>
    <cellStyle name="Currency [0]" xfId="17" builtinId="7"/>
    <cellStyle name="Comma" xfId="18" builtinId="3"/>
    <cellStyle name="Comma [0]" xfId="19" builtinId="6"/>
    <cellStyle name="20% - Accent1" xfId="20" builtinId="30"/>
    <cellStyle name="20% - Accent2" xfId="21" builtinId="34"/>
    <cellStyle name="20% - Accent3" xfId="22" builtinId="38"/>
    <cellStyle name="20% - Accent4" xfId="23" builtinId="42"/>
    <cellStyle name="20% - Accent5" xfId="24" builtinId="46"/>
    <cellStyle name="20% - Accent6" xfId="25" builtinId="50"/>
    <cellStyle name="40% - Accent1" xfId="26" builtinId="31"/>
    <cellStyle name="40% - Accent2" xfId="27" builtinId="35"/>
    <cellStyle name="40% - Accent3" xfId="28" builtinId="39"/>
    <cellStyle name="40% - Accent4" xfId="29" builtinId="43"/>
    <cellStyle name="40% - Accent5" xfId="30" builtinId="47"/>
    <cellStyle name="40% - Accent6" xfId="31" builtinId="51"/>
    <cellStyle name="60% - Accent1" xfId="32" builtinId="32"/>
    <cellStyle name="60% - Accent2" xfId="33" builtinId="36"/>
    <cellStyle name="60% - Accent3" xfId="34" builtinId="40"/>
    <cellStyle name="60% - Accent4" xfId="35" builtinId="44"/>
    <cellStyle name="60% - Accent5" xfId="36" builtinId="48"/>
    <cellStyle name="60% - Accent6" xfId="37" builtinId="52"/>
    <cellStyle name="Accent1" xfId="38" builtinId="29"/>
    <cellStyle name="Accent2" xfId="39" builtinId="33"/>
    <cellStyle name="Accent3" xfId="40" builtinId="37"/>
    <cellStyle name="Accent4" xfId="41" builtinId="41"/>
    <cellStyle name="Accent5" xfId="42" builtinId="45"/>
    <cellStyle name="Accent6" xfId="43" builtinId="49"/>
    <cellStyle name="Bad" xfId="44" builtinId="27"/>
    <cellStyle name="Calculation" xfId="45" builtinId="22"/>
    <cellStyle name="Check Cell" xfId="46" builtinId="23"/>
    <cellStyle name="Explanatory Text" xfId="47" builtinId="53"/>
    <cellStyle name="Good" xfId="48" builtinId="26"/>
    <cellStyle name="Heading 1" xfId="49" builtinId="16"/>
    <cellStyle name="Heading 2" xfId="50" builtinId="17"/>
    <cellStyle name="Heading 3" xfId="51" builtinId="18"/>
    <cellStyle name="Heading 4" xfId="52" builtinId="19"/>
    <cellStyle name="Input" xfId="53" builtinId="20"/>
    <cellStyle name="Linked Cell" xfId="54" builtinId="24"/>
    <cellStyle name="Neutral" xfId="55" builtinId="28"/>
    <cellStyle name="normal" xfId="56"/>
    <cellStyle name="Note" xfId="57" builtinId="10"/>
    <cellStyle name="Output" xfId="58" builtinId="21"/>
    <cellStyle name="Title" xfId="59" builtinId="15"/>
    <cellStyle name="Total" xfId="60" builtinId="25"/>
    <cellStyle name="Warning Text" xfId="61" builtinId="11"/>
    <cellStyle name=" 1_Stage1" xfId="62"/>
    <cellStyle name=" 1 2" xfId="63"/>
    <cellStyle name="_Расчет RAB_Лен и МОЭСК_с 2010 года_14.04.2009_со сглаж_version 3.0_без ФСК_Книга2_PR.PROG.WARM.NOTCOMBI.2012.2.16_v1.4(04.04.11) " xfId="64"/>
    <cellStyle name="currency1" xfId="65"/>
    <cellStyle name="Percent1" xfId="66"/>
    <cellStyle name="currency3" xfId="67"/>
    <cellStyle name="currency4" xfId="68"/>
    <cellStyle name="Followed Hyperlink" xfId="69"/>
    <cellStyle name="Hyperlink" xfId="70" builtinId="8"/>
    <cellStyle name="Normal1" xfId="71"/>
    <cellStyle name="Гиперссылка" xfId="72"/>
    <cellStyle name="Обычный 10" xfId="73"/>
    <cellStyle name="Обычный 16" xfId="74"/>
    <cellStyle name="Обычный 2" xfId="75"/>
    <cellStyle name="Обычный_PRIL1.ELECTR" xfId="76"/>
    <cellStyle name="Открывавшаяся гиперссылка" xfId="77"/>
  </cellStyle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styleSheet>
</file>

<file path=xl/_rels/workbook.xml.rels><?xml version="1.0" encoding="UTF-8" standalone="yes"?><Relationships xmlns="http://schemas.openxmlformats.org/package/2006/relationships"><Relationship Id="rId87" Type="http://schemas.openxmlformats.org/officeDocument/2006/relationships/worksheet" Target="worksheets/sheet86.xml" /><Relationship Id="rId79" Type="http://schemas.openxmlformats.org/officeDocument/2006/relationships/worksheet" Target="worksheets/sheet78.xml" /><Relationship Id="rId84" Type="http://schemas.openxmlformats.org/officeDocument/2006/relationships/worksheet" Target="worksheets/sheet83.xml" /><Relationship Id="rId3" Type="http://schemas.openxmlformats.org/officeDocument/2006/relationships/worksheet" Target="worksheets/sheet2.xml" /><Relationship Id="rId64" Type="http://schemas.openxmlformats.org/officeDocument/2006/relationships/worksheet" Target="worksheets/sheet63.xml" /><Relationship Id="rId68" Type="http://schemas.openxmlformats.org/officeDocument/2006/relationships/worksheet" Target="worksheets/sheet67.xml" /><Relationship Id="rId75" Type="http://schemas.openxmlformats.org/officeDocument/2006/relationships/worksheet" Target="worksheets/sheet74.xml" /><Relationship Id="rId65" Type="http://schemas.openxmlformats.org/officeDocument/2006/relationships/worksheet" Target="worksheets/sheet64.xml" /><Relationship Id="rId80" Type="http://schemas.openxmlformats.org/officeDocument/2006/relationships/worksheet" Target="worksheets/sheet79.xml" /><Relationship Id="rId48" Type="http://schemas.openxmlformats.org/officeDocument/2006/relationships/worksheet" Target="worksheets/sheet47.xml" /><Relationship Id="rId49" Type="http://schemas.openxmlformats.org/officeDocument/2006/relationships/worksheet" Target="worksheets/sheet48.xml" /><Relationship Id="rId44" Type="http://schemas.openxmlformats.org/officeDocument/2006/relationships/worksheet" Target="worksheets/sheet43.xml" /><Relationship Id="rId45" Type="http://schemas.openxmlformats.org/officeDocument/2006/relationships/worksheet" Target="worksheets/sheet44.xml" /><Relationship Id="rId46" Type="http://schemas.openxmlformats.org/officeDocument/2006/relationships/worksheet" Target="worksheets/sheet45.xml" /><Relationship Id="rId47" Type="http://schemas.openxmlformats.org/officeDocument/2006/relationships/worksheet" Target="worksheets/sheet46.xml" /><Relationship Id="rId40" Type="http://schemas.openxmlformats.org/officeDocument/2006/relationships/worksheet" Target="worksheets/sheet39.xml" /><Relationship Id="rId41" Type="http://schemas.openxmlformats.org/officeDocument/2006/relationships/worksheet" Target="worksheets/sheet40.xml" /><Relationship Id="rId42" Type="http://schemas.openxmlformats.org/officeDocument/2006/relationships/worksheet" Target="worksheets/sheet41.xml" /><Relationship Id="rId43" Type="http://schemas.openxmlformats.org/officeDocument/2006/relationships/worksheet" Target="worksheets/sheet42.xml" /><Relationship Id="rId86" Type="http://schemas.openxmlformats.org/officeDocument/2006/relationships/worksheet" Target="worksheets/sheet85.xml" /><Relationship Id="rId28" Type="http://schemas.openxmlformats.org/officeDocument/2006/relationships/worksheet" Target="worksheets/sheet27.xml" /><Relationship Id="rId29" Type="http://schemas.openxmlformats.org/officeDocument/2006/relationships/worksheet" Target="worksheets/sheet28.xml" /><Relationship Id="rId81" Type="http://schemas.openxmlformats.org/officeDocument/2006/relationships/worksheet" Target="worksheets/sheet80.xml" /><Relationship Id="rId82" Type="http://schemas.openxmlformats.org/officeDocument/2006/relationships/worksheet" Target="worksheets/sheet81.xml" /><Relationship Id="rId24" Type="http://schemas.openxmlformats.org/officeDocument/2006/relationships/worksheet" Target="worksheets/sheet23.xml" /><Relationship Id="rId25" Type="http://schemas.openxmlformats.org/officeDocument/2006/relationships/worksheet" Target="worksheets/sheet24.xml" /><Relationship Id="rId26" Type="http://schemas.openxmlformats.org/officeDocument/2006/relationships/worksheet" Target="worksheets/sheet25.xml" /><Relationship Id="rId27" Type="http://schemas.openxmlformats.org/officeDocument/2006/relationships/worksheet" Target="worksheets/sheet26.xml" /><Relationship Id="rId20" Type="http://schemas.openxmlformats.org/officeDocument/2006/relationships/worksheet" Target="worksheets/sheet19.xml" /><Relationship Id="rId21" Type="http://schemas.openxmlformats.org/officeDocument/2006/relationships/worksheet" Target="worksheets/sheet20.xml" /><Relationship Id="rId22" Type="http://schemas.openxmlformats.org/officeDocument/2006/relationships/worksheet" Target="worksheets/sheet21.xml" /><Relationship Id="rId23" Type="http://schemas.openxmlformats.org/officeDocument/2006/relationships/worksheet" Target="worksheets/sheet22.xml" /><Relationship Id="rId66" Type="http://schemas.openxmlformats.org/officeDocument/2006/relationships/worksheet" Target="worksheets/sheet65.xml" /><Relationship Id="rId67" Type="http://schemas.openxmlformats.org/officeDocument/2006/relationships/worksheet" Target="worksheets/sheet66.xml" /><Relationship Id="rId60" Type="http://schemas.openxmlformats.org/officeDocument/2006/relationships/worksheet" Target="worksheets/sheet59.xml" /><Relationship Id="rId61" Type="http://schemas.openxmlformats.org/officeDocument/2006/relationships/worksheet" Target="worksheets/sheet60.xml" /><Relationship Id="rId62" Type="http://schemas.openxmlformats.org/officeDocument/2006/relationships/worksheet" Target="worksheets/sheet61.xml" /><Relationship Id="rId63" Type="http://schemas.openxmlformats.org/officeDocument/2006/relationships/worksheet" Target="worksheets/sheet62.xml" /><Relationship Id="rId7" Type="http://schemas.openxmlformats.org/officeDocument/2006/relationships/worksheet" Target="worksheets/sheet6.xml" /><Relationship Id="rId93" Type="http://schemas.openxmlformats.org/officeDocument/2006/relationships/calcChain" Target="calcChain.xml" /><Relationship Id="rId1" Type="http://schemas.openxmlformats.org/officeDocument/2006/relationships/theme" Target="theme/theme1.xml" /><Relationship Id="rId13" Type="http://schemas.openxmlformats.org/officeDocument/2006/relationships/worksheet" Target="worksheets/sheet12.xml" /><Relationship Id="rId5" Type="http://schemas.openxmlformats.org/officeDocument/2006/relationships/worksheet" Target="worksheets/sheet4.xml" /><Relationship Id="rId9" Type="http://schemas.openxmlformats.org/officeDocument/2006/relationships/worksheet" Target="worksheets/sheet8.xml" /><Relationship Id="rId89" Type="http://schemas.openxmlformats.org/officeDocument/2006/relationships/worksheet" Target="worksheets/sheet88.xml" /><Relationship Id="rId78" Type="http://schemas.openxmlformats.org/officeDocument/2006/relationships/worksheet" Target="worksheets/sheet77.xml" /><Relationship Id="rId38" Type="http://schemas.openxmlformats.org/officeDocument/2006/relationships/worksheet" Target="worksheets/sheet37.xml" /><Relationship Id="rId39" Type="http://schemas.openxmlformats.org/officeDocument/2006/relationships/worksheet" Target="worksheets/sheet38.xml" /><Relationship Id="rId34" Type="http://schemas.openxmlformats.org/officeDocument/2006/relationships/worksheet" Target="worksheets/sheet33.xml" /><Relationship Id="rId35" Type="http://schemas.openxmlformats.org/officeDocument/2006/relationships/worksheet" Target="worksheets/sheet34.xml" /><Relationship Id="rId36" Type="http://schemas.openxmlformats.org/officeDocument/2006/relationships/worksheet" Target="worksheets/sheet35.xml" /><Relationship Id="rId37" Type="http://schemas.openxmlformats.org/officeDocument/2006/relationships/worksheet" Target="worksheets/sheet36.xml" /><Relationship Id="rId30" Type="http://schemas.openxmlformats.org/officeDocument/2006/relationships/worksheet" Target="worksheets/sheet29.xml" /><Relationship Id="rId31" Type="http://schemas.openxmlformats.org/officeDocument/2006/relationships/worksheet" Target="worksheets/sheet30.xml" /><Relationship Id="rId32" Type="http://schemas.openxmlformats.org/officeDocument/2006/relationships/worksheet" Target="worksheets/sheet31.xml" /><Relationship Id="rId33" Type="http://schemas.openxmlformats.org/officeDocument/2006/relationships/worksheet" Target="worksheets/sheet32.xml" /><Relationship Id="rId74" Type="http://schemas.openxmlformats.org/officeDocument/2006/relationships/worksheet" Target="worksheets/sheet73.xml" /><Relationship Id="rId77" Type="http://schemas.openxmlformats.org/officeDocument/2006/relationships/worksheet" Target="worksheets/sheet76.xml" /><Relationship Id="rId70" Type="http://schemas.openxmlformats.org/officeDocument/2006/relationships/worksheet" Target="worksheets/sheet69.xml" /><Relationship Id="rId69" Type="http://schemas.openxmlformats.org/officeDocument/2006/relationships/worksheet" Target="worksheets/sheet68.xml" /><Relationship Id="rId72" Type="http://schemas.openxmlformats.org/officeDocument/2006/relationships/worksheet" Target="worksheets/sheet71.xml" /><Relationship Id="rId73" Type="http://schemas.openxmlformats.org/officeDocument/2006/relationships/worksheet" Target="worksheets/sheet72.xml" /><Relationship Id="rId83" Type="http://schemas.openxmlformats.org/officeDocument/2006/relationships/worksheet" Target="worksheets/sheet82.xml" /><Relationship Id="rId76" Type="http://schemas.openxmlformats.org/officeDocument/2006/relationships/worksheet" Target="worksheets/sheet75.xml" /><Relationship Id="rId18" Type="http://schemas.openxmlformats.org/officeDocument/2006/relationships/worksheet" Target="worksheets/sheet17.xml" /><Relationship Id="rId19" Type="http://schemas.openxmlformats.org/officeDocument/2006/relationships/worksheet" Target="worksheets/sheet18.xml" /><Relationship Id="rId14" Type="http://schemas.openxmlformats.org/officeDocument/2006/relationships/worksheet" Target="worksheets/sheet13.xml" /><Relationship Id="rId15" Type="http://schemas.openxmlformats.org/officeDocument/2006/relationships/worksheet" Target="worksheets/sheet14.xml" /><Relationship Id="rId58" Type="http://schemas.openxmlformats.org/officeDocument/2006/relationships/worksheet" Target="worksheets/sheet57.xml" /><Relationship Id="rId17" Type="http://schemas.openxmlformats.org/officeDocument/2006/relationships/worksheet" Target="worksheets/sheet16.xml" /><Relationship Id="rId10" Type="http://schemas.openxmlformats.org/officeDocument/2006/relationships/worksheet" Target="worksheets/sheet9.xml" /><Relationship Id="rId11" Type="http://schemas.openxmlformats.org/officeDocument/2006/relationships/worksheet" Target="worksheets/sheet10.xml" /><Relationship Id="rId54" Type="http://schemas.openxmlformats.org/officeDocument/2006/relationships/worksheet" Target="worksheets/sheet53.xml" /><Relationship Id="rId55" Type="http://schemas.openxmlformats.org/officeDocument/2006/relationships/worksheet" Target="worksheets/sheet54.xml" /><Relationship Id="rId56" Type="http://schemas.openxmlformats.org/officeDocument/2006/relationships/worksheet" Target="worksheets/sheet55.xml" /><Relationship Id="rId57" Type="http://schemas.openxmlformats.org/officeDocument/2006/relationships/worksheet" Target="worksheets/sheet56.xml" /><Relationship Id="rId50" Type="http://schemas.openxmlformats.org/officeDocument/2006/relationships/worksheet" Target="worksheets/sheet49.xml" /><Relationship Id="rId51" Type="http://schemas.openxmlformats.org/officeDocument/2006/relationships/worksheet" Target="worksheets/sheet50.xml" /><Relationship Id="rId52" Type="http://schemas.openxmlformats.org/officeDocument/2006/relationships/worksheet" Target="worksheets/sheet51.xml" /><Relationship Id="rId53" Type="http://schemas.openxmlformats.org/officeDocument/2006/relationships/worksheet" Target="worksheets/sheet52.xml" /><Relationship Id="rId90" Type="http://schemas.openxmlformats.org/officeDocument/2006/relationships/worksheet" Target="worksheets/sheet89.xml" /><Relationship Id="rId91" Type="http://schemas.openxmlformats.org/officeDocument/2006/relationships/styles" Target="styles.xml" /><Relationship Id="rId92" Type="http://schemas.openxmlformats.org/officeDocument/2006/relationships/sharedStrings" Target="sharedStrings.xml" /><Relationship Id="rId71" Type="http://schemas.openxmlformats.org/officeDocument/2006/relationships/worksheet" Target="worksheets/sheet70.xml" /><Relationship Id="rId16" Type="http://schemas.openxmlformats.org/officeDocument/2006/relationships/worksheet" Target="worksheets/sheet15.xml" /><Relationship Id="rId59" Type="http://schemas.openxmlformats.org/officeDocument/2006/relationships/worksheet" Target="worksheets/sheet58.xml" /><Relationship Id="rId4" Type="http://schemas.openxmlformats.org/officeDocument/2006/relationships/worksheet" Target="worksheets/sheet3.xml" /><Relationship Id="rId12" Type="http://schemas.openxmlformats.org/officeDocument/2006/relationships/worksheet" Target="worksheets/sheet11.xml" /><Relationship Id="rId8" Type="http://schemas.openxmlformats.org/officeDocument/2006/relationships/worksheet" Target="worksheets/sheet7.xml" /><Relationship Id="rId85" Type="http://schemas.openxmlformats.org/officeDocument/2006/relationships/worksheet" Target="worksheets/sheet84.xml" /><Relationship Id="rId2" Type="http://schemas.openxmlformats.org/officeDocument/2006/relationships/worksheet" Target="worksheets/sheet1.xml" /><Relationship Id="rId88" Type="http://schemas.openxmlformats.org/officeDocument/2006/relationships/worksheet" Target="worksheets/sheet87.xml" /><Relationship Id="rId6" Type="http://schemas.openxmlformats.org/officeDocument/2006/relationships/worksheet" Target="worksheets/sheet5.xml" /></Relationships>
</file>

<file path=xl/drawings/_rels/drawing1.xml.rels><?xml version="1.0" encoding="UTF-8" standalone="yes"?><Relationships xmlns="http://schemas.openxmlformats.org/package/2006/relationships"><Relationship Id="rId2" Type="http://schemas.openxmlformats.org/officeDocument/2006/relationships/image" Target="../media/image4.jpeg" /><Relationship Id="rId3" Type="http://schemas.openxmlformats.org/officeDocument/2006/relationships/image" Target="../media/image5.jpeg" /><Relationship Id="rId1" Type="http://schemas.openxmlformats.org/officeDocument/2006/relationships/image" Target="../media/image3.jpeg" /></Relationships>
</file>

<file path=xl/drawings/_rels/drawing2.xml.rels><?xml version="1.0" encoding="UTF-8" standalone="yes"?><Relationships xmlns="http://schemas.openxmlformats.org/package/2006/relationships"><Relationship Id="rId2" Type="http://schemas.openxmlformats.org/officeDocument/2006/relationships/image" Target="../media/image6.jpeg" /><Relationship Id="rId1" Type="http://schemas.openxmlformats.org/officeDocument/2006/relationships/image" Target="../media/image4.jpeg" /></Relationships>
</file>

<file path=xl/drawings/_rels/drawing3.xml.rels><?xml version="1.0" encoding="UTF-8" standalone="yes"?><Relationships xmlns="http://schemas.openxmlformats.org/package/2006/relationships"><Relationship Id="rId1" Type="http://schemas.openxmlformats.org/officeDocument/2006/relationships/image" Target="../media/image6.jpeg" /></Relationships>
</file>

<file path=xl/drawings/_rels/drawing4.xml.rels><?xml version="1.0" encoding="UTF-8" standalone="yes"?><Relationships xmlns="http://schemas.openxmlformats.org/package/2006/relationships"><Relationship Id="rId1" Type="http://schemas.openxmlformats.org/officeDocument/2006/relationships/image" Target="../media/image1.png" /></Relationships>
</file>

<file path=xl/drawings/_rels/drawing5.xml.rels><?xml version="1.0" encoding="UTF-8" standalone="yes"?><Relationships xmlns="http://schemas.openxmlformats.org/package/2006/relationships"><Relationship Id="rId1" Type="http://schemas.openxmlformats.org/officeDocument/2006/relationships/image" Target="../media/image2.png" /></Relationships>
</file>

<file path=xl/drawings/_rels/drawing6.xml.rels><?xml version="1.0" encoding="UTF-8" standalone="yes"?><Relationships xmlns="http://schemas.openxmlformats.org/package/2006/relationships"><Relationship Id="rId1" Type="http://schemas.openxmlformats.org/officeDocument/2006/relationships/image" Target="../media/image2.png" /></Relationships>
</file>

<file path=xl/drawings/_rels/drawing7.xml.rels><?xml version="1.0" encoding="UTF-8" standalone="yes"?><Relationships xmlns="http://schemas.openxmlformats.org/package/2006/relationships"><Relationship Id="rId1" Type="http://schemas.openxmlformats.org/officeDocument/2006/relationships/image" Target="../media/image3.png" /></Relationships>
</file>

<file path=xl/drawings/_rels/drawing8.xml.rels><?xml version="1.0" encoding="UTF-8" standalone="yes"?><Relationships xmlns="http://schemas.openxmlformats.org/package/2006/relationships"><Relationship Id="rId1" Type="http://schemas.openxmlformats.org/officeDocument/2006/relationships/image" Target="../media/image2.png" /></Relationships>
</file>

<file path=xl/drawings/drawing1.xml><?xml version="1.0" encoding="utf-8"?>
<xdr:wsDr xmlns:xdr="http://schemas.openxmlformats.org/drawingml/2006/spreadsheetDrawing" xmlns:a="http://schemas.openxmlformats.org/drawingml/2006/main" xmlns:r="http://schemas.openxmlformats.org/officeDocument/2006/relationships" xmlns:a14="http://schemas.microsoft.com/office/drawing/2010/main">
  <xdr:twoCellAnchor editAs="oneCell">
    <xdr:from>
      <xdr:col>3</xdr:col>
      <xdr:colOff>57150</xdr:colOff>
      <xdr:row>8</xdr:row>
      <xdr:rowOff>0</xdr:rowOff>
    </xdr:from>
    <xdr:to>
      <xdr:col>4</xdr:col>
      <xdr:colOff>314515</xdr:colOff>
      <xdr:row>14</xdr:row>
      <xdr:rowOff>191</xdr:rowOff>
    </xdr:to>
    <xdr:pic>
      <xdr:nvPicPr>
        <xdr:cNvPr id="1" name="PHONE_PIC" descr="update_org.png" hidden="1"/>
        <xdr:cNvPicPr>
          <a:picLocks noChangeAspect="1"/>
        </xdr:cNvPicPr>
      </xdr:nvPicPr>
      <xdr:blipFill>
        <a:blip r:embed="rId1">
          <a:extLst>
            <a:ext uri="{28A0092B-C50C-407E-A947-70E740481C1C}">
              <a14:useLocalDpi xmlns:a14="http://schemas.microsoft.com/office/drawing/2010/main" val="0"/>
            </a:ext>
          </a:extLst>
        </a:blip>
        <a:stretch>
          <a:fillRect/>
        </a:stretch>
      </xdr:blipFill>
      <xdr:spPr>
        <a:xfrm>
          <a:off x="257175" y="1400175"/>
          <a:ext cx="323850" cy="342900"/>
        </a:xfrm>
        <a:prstGeom prst="rect"/>
        <a:ln w="0">
          <a:noFill/>
          <a:prstDash val="solid"/>
        </a:ln>
      </xdr:spPr>
    </xdr:pic>
    <xdr:clientData/>
  </xdr:twoCellAnchor>
  <xdr:twoCellAnchor editAs="oneCell">
    <xdr:from>
      <xdr:col>3</xdr:col>
      <xdr:colOff>57150</xdr:colOff>
      <xdr:row>16</xdr:row>
      <xdr:rowOff>0</xdr:rowOff>
    </xdr:from>
    <xdr:to>
      <xdr:col>4</xdr:col>
      <xdr:colOff>314515</xdr:colOff>
      <xdr:row>30</xdr:row>
      <xdr:rowOff>191</xdr:rowOff>
    </xdr:to>
    <xdr:pic>
      <xdr:nvPicPr>
        <xdr:cNvPr id="2" name="PHONE_PIC_1" descr="update_org.png" hidden="1"/>
        <xdr:cNvPicPr>
          <a:picLocks noChangeAspect="1"/>
        </xdr:cNvPicPr>
      </xdr:nvPicPr>
      <xdr:blipFill>
        <a:blip r:embed="rId1">
          <a:extLst>
            <a:ext uri="{28A0092B-C50C-407E-A947-70E740481C1C}">
              <a14:useLocalDpi xmlns:a14="http://schemas.microsoft.com/office/drawing/2010/main" val="0"/>
            </a:ext>
          </a:extLst>
        </a:blip>
        <a:stretch>
          <a:fillRect/>
        </a:stretch>
      </xdr:blipFill>
      <xdr:spPr>
        <a:xfrm>
          <a:off x="257175" y="2066925"/>
          <a:ext cx="323850" cy="342900"/>
        </a:xfrm>
        <a:prstGeom prst="rect"/>
        <a:ln w="0">
          <a:noFill/>
          <a:prstDash val="solid"/>
        </a:ln>
      </xdr:spPr>
    </xdr:pic>
    <xdr:clientData/>
  </xdr:twoCellAnchor>
  <xdr:twoCellAnchor editAs="oneCell">
    <xdr:from>
      <xdr:col>7</xdr:col>
      <xdr:colOff>0</xdr:colOff>
      <xdr:row>4</xdr:row>
      <xdr:rowOff>0</xdr:rowOff>
    </xdr:from>
    <xdr:to>
      <xdr:col>8</xdr:col>
      <xdr:colOff>207645</xdr:colOff>
      <xdr:row>4</xdr:row>
      <xdr:rowOff>207645</xdr:rowOff>
    </xdr:to>
    <xdr:pic>
      <xdr:nvPicPr>
        <xdr:cNvPr id="3" name="cmdCreatePrintedForm" descr="Создание печатной формы" hidden="1"/>
        <xdr:cNvPicPr>
          <a:picLocks noChangeAspect="1"/>
        </xdr:cNvPicPr>
      </xdr:nvPicPr>
      <xdr:blipFill>
        <a:blip r:embed="rId2">
          <a:extLst>
            <a:ext uri="{28A0092B-C50C-407E-A947-70E740481C1C}">
              <a14:useLocalDpi xmlns:a14="http://schemas.microsoft.com/office/drawing/2010/main" val="0"/>
            </a:ext>
          </a:extLst>
        </a:blip>
        <a:stretch>
          <a:fillRect/>
        </a:stretch>
      </xdr:blipFill>
      <xdr:spPr>
        <a:xfrm>
          <a:off x="7667625" y="476250"/>
          <a:ext cx="209550" cy="209550"/>
        </a:xfrm>
        <a:prstGeom prst="rect"/>
        <a:ln w="0">
          <a:noFill/>
          <a:prstDash val="solid"/>
        </a:ln>
      </xdr:spPr>
    </xdr:pic>
    <xdr:clientData/>
  </xdr:twoCellAnchor>
  <xdr:twoCellAnchor editAs="oneCell">
    <xdr:from>
      <xdr:col>4</xdr:col>
      <xdr:colOff>0</xdr:colOff>
      <xdr:row>30</xdr:row>
      <xdr:rowOff>0</xdr:rowOff>
    </xdr:from>
    <xdr:to>
      <xdr:col>4</xdr:col>
      <xdr:colOff>288036</xdr:colOff>
      <xdr:row>32</xdr:row>
      <xdr:rowOff>54102</xdr:rowOff>
    </xdr:to>
    <xdr:pic>
      <xdr:nvPicPr>
        <xdr:cNvPr id="4" name="UPDATE_PLAN1X_DATA" descr="update_org.png" hidden="1"/>
        <xdr:cNvPicPr>
          <a:picLocks noChangeAspect="1"/>
        </xdr:cNvPicPr>
      </xdr:nvPicPr>
      <xdr:blipFill>
        <a:blip r:embed="rId3">
          <a:extLst>
            <a:ext uri="{28A0092B-C50C-407E-A947-70E740481C1C}">
              <a14:useLocalDpi xmlns:a14="http://schemas.microsoft.com/office/drawing/2010/main" val="0"/>
            </a:ext>
          </a:extLst>
        </a:blip>
        <a:stretch>
          <a:fillRect/>
        </a:stretch>
      </xdr:blipFill>
      <xdr:spPr>
        <a:xfrm>
          <a:off x="266700" y="2409825"/>
          <a:ext cx="285750" cy="323850"/>
        </a:xfrm>
        <a:prstGeom prst="rect"/>
        <a:ln w="0">
          <a:noFill/>
          <a:prstDash val="solid"/>
        </a:ln>
      </xdr:spPr>
    </xdr:pic>
    <xdr:clientData/>
  </xdr:twoCellAnchor>
  <xdr:twoCellAnchor editAs="oneCell">
    <xdr:from>
      <xdr:col>3</xdr:col>
      <xdr:colOff>57150</xdr:colOff>
      <xdr:row>65</xdr:row>
      <xdr:rowOff>76200</xdr:rowOff>
    </xdr:from>
    <xdr:to>
      <xdr:col>4</xdr:col>
      <xdr:colOff>321850</xdr:colOff>
      <xdr:row>65</xdr:row>
      <xdr:rowOff>400240</xdr:rowOff>
    </xdr:to>
    <xdr:pic>
      <xdr:nvPicPr>
        <xdr:cNvPr id="5" name="PHONE_PIC_2" descr="update_org.png" hidden="1"/>
        <xdr:cNvPicPr>
          <a:picLocks noChangeAspect="1"/>
        </xdr:cNvPicPr>
      </xdr:nvPicPr>
      <xdr:blipFill>
        <a:blip r:embed="rId1">
          <a:extLst>
            <a:ext uri="{28A0092B-C50C-407E-A947-70E740481C1C}">
              <a14:useLocalDpi xmlns:a14="http://schemas.microsoft.com/office/drawing/2010/main" val="0"/>
            </a:ext>
          </a:extLst>
        </a:blip>
        <a:stretch>
          <a:fillRect/>
        </a:stretch>
      </xdr:blipFill>
      <xdr:spPr>
        <a:xfrm>
          <a:off x="257175" y="4848225"/>
          <a:ext cx="333375" cy="323850"/>
        </a:xfrm>
        <a:prstGeom prst="rect"/>
        <a:ln w="0">
          <a:noFill/>
          <a:prstDash val="solid"/>
        </a:ln>
      </xdr:spPr>
    </xdr:pic>
    <xdr:clientData/>
  </xdr:twoCellAnchor>
</xdr:wsDr>
</file>

<file path=xl/drawings/drawing2.xml><?xml version="1.0" encoding="utf-8"?>
<xdr:wsDr xmlns:xdr="http://schemas.openxmlformats.org/drawingml/2006/spreadsheetDrawing" xmlns:a="http://schemas.openxmlformats.org/drawingml/2006/main" xmlns:r="http://schemas.openxmlformats.org/officeDocument/2006/relationships" xmlns:a14="http://schemas.microsoft.com/office/drawing/2010/main">
  <xdr:twoCellAnchor editAs="oneCell">
    <xdr:from>
      <xdr:col>6</xdr:col>
      <xdr:colOff>0</xdr:colOff>
      <xdr:row>8</xdr:row>
      <xdr:rowOff>0</xdr:rowOff>
    </xdr:from>
    <xdr:to>
      <xdr:col>6</xdr:col>
      <xdr:colOff>207645</xdr:colOff>
      <xdr:row>8</xdr:row>
      <xdr:rowOff>207645</xdr:rowOff>
    </xdr:to>
    <xdr:pic>
      <xdr:nvPicPr>
        <xdr:cNvPr id="1" name="ExcludeHelp_2" descr="Справка по листу" hidden="1"/>
        <xdr:cNvPicPr>
          <a:picLocks noChangeAspect="1"/>
        </xdr:cNvPicPr>
      </xdr:nvPicPr>
      <xdr:blipFill>
        <a:blip r:embed="rId1">
          <a:extLst>
            <a:ext uri="{28A0092B-C50C-407E-A947-70E740481C1C}">
              <a14:useLocalDpi xmlns:a14="http://schemas.microsoft.com/office/drawing/2010/main" val="0"/>
            </a:ext>
          </a:extLst>
        </a:blip>
        <a:stretch>
          <a:fillRect/>
        </a:stretch>
      </xdr:blipFill>
      <xdr:spPr>
        <a:xfrm>
          <a:off x="800100" y="742950"/>
          <a:ext cx="209550" cy="209550"/>
        </a:xfrm>
        <a:prstGeom prst="rect"/>
        <a:ln w="0">
          <a:noFill/>
          <a:prstDash val="solid"/>
        </a:ln>
      </xdr:spPr>
    </xdr:pic>
    <xdr:clientData/>
  </xdr:twoCellAnchor>
  <xdr:twoCellAnchor>
    <xdr:from>
      <xdr:col>4</xdr:col>
      <xdr:colOff>114300</xdr:colOff>
      <xdr:row>5</xdr:row>
      <xdr:rowOff>0</xdr:rowOff>
    </xdr:from>
    <xdr:to>
      <xdr:col>6</xdr:col>
      <xdr:colOff>18764</xdr:colOff>
      <xdr:row>6</xdr:row>
      <xdr:rowOff>0</xdr:rowOff>
    </xdr:to>
    <xdr:pic>
      <xdr:nvPicPr>
        <xdr:cNvPr id="2" name="Рисунок 1" hidden="1"/>
        <xdr:cNvPicPr>
          <a:picLocks noChangeAspect="1"/>
        </xdr:cNvPicPr>
      </xdr:nvPicPr>
      <xdr:blipFill>
        <a:blip r:embed="rId2">
          <a:extLst>
            <a:ext uri="{28A0092B-C50C-407E-A947-70E740481C1C}">
              <a14:useLocalDpi xmlns:a14="http://schemas.microsoft.com/office/drawing/2010/main" val="0"/>
            </a:ext>
          </a:extLst>
        </a:blip>
        <a:stretch>
          <a:fillRect/>
        </a:stretch>
      </xdr:blipFill>
      <xdr:spPr>
        <a:xfrm>
          <a:off x="514350" y="561975"/>
          <a:ext cx="304800" cy="0"/>
        </a:xfrm>
        <a:prstGeom prst="rect"/>
        <a:ln w="0">
          <a:noFill/>
          <a:prstDash val="solid"/>
        </a:ln>
      </xdr:spPr>
    </xdr:pic>
    <xdr:clientData/>
  </xdr:twoCellAnchor>
</xdr:wsDr>
</file>

<file path=xl/drawings/drawing3.xml><?xml version="1.0" encoding="utf-8"?>
<xdr:wsDr xmlns:xdr="http://schemas.openxmlformats.org/drawingml/2006/spreadsheetDrawing" xmlns:a="http://schemas.openxmlformats.org/drawingml/2006/main" xmlns:r="http://schemas.openxmlformats.org/officeDocument/2006/relationships" xmlns:a14="http://schemas.microsoft.com/office/drawing/2010/main">
  <xdr:twoCellAnchor>
    <xdr:from>
      <xdr:col>3</xdr:col>
      <xdr:colOff>73533</xdr:colOff>
      <xdr:row>6</xdr:row>
      <xdr:rowOff>0</xdr:rowOff>
    </xdr:from>
    <xdr:to>
      <xdr:col>4</xdr:col>
      <xdr:colOff>155734</xdr:colOff>
      <xdr:row>6</xdr:row>
      <xdr:rowOff>0</xdr:rowOff>
    </xdr:to>
    <xdr:pic>
      <xdr:nvPicPr>
        <xdr:cNvPr id="1" name="Рисунок 8" hidden="1"/>
        <xdr:cNvPicPr>
          <a:picLocks noChangeAspect="1"/>
        </xdr:cNvPicPr>
      </xdr:nvPicPr>
      <xdr:blipFill>
        <a:blip r:embed="rId1">
          <a:extLst>
            <a:ext uri="{28A0092B-C50C-407E-A947-70E740481C1C}">
              <a14:useLocalDpi xmlns:a14="http://schemas.microsoft.com/office/drawing/2010/main" val="0"/>
            </a:ext>
          </a:extLst>
        </a:blip>
        <a:stretch>
          <a:fillRect/>
        </a:stretch>
      </xdr:blipFill>
      <xdr:spPr>
        <a:xfrm>
          <a:off x="276225" y="847725"/>
          <a:ext cx="342900" cy="0"/>
        </a:xfrm>
        <a:prstGeom prst="rect"/>
        <a:ln w="0">
          <a:noFill/>
          <a:prstDash val="solid"/>
        </a:ln>
      </xdr:spPr>
    </xdr:pic>
    <xdr:clientData/>
  </xdr:twoCellAnchor>
</xdr:wsDr>
</file>

<file path=xl/drawings/drawing4.xml><?xml version="1.0" encoding="utf-8"?>
<xdr:wsDr xmlns:xdr="http://schemas.openxmlformats.org/drawingml/2006/spreadsheetDrawing" xmlns:a="http://schemas.openxmlformats.org/drawingml/2006/main" xmlns:r="http://schemas.openxmlformats.org/officeDocument/2006/relationships" xmlns:a14="http://schemas.microsoft.com/office/drawing/2010/main">
  <xdr:twoCellAnchor>
    <xdr:from>
      <xdr:col>4</xdr:col>
      <xdr:colOff>0</xdr:colOff>
      <xdr:row>8</xdr:row>
      <xdr:rowOff>0</xdr:rowOff>
    </xdr:from>
    <xdr:to>
      <xdr:col>5</xdr:col>
      <xdr:colOff>0</xdr:colOff>
      <xdr:row>9</xdr:row>
      <xdr:rowOff>30480</xdr:rowOff>
    </xdr:to>
    <xdr:pic>
      <xdr:nvPicPr>
        <xdr:cNvPr id="1" name="UNFREEZE_PANES_I11" descr="update_org.png" hidden="1"/>
        <xdr:cNvPicPr>
          <a:picLocks noChangeAspect="1"/>
        </xdr:cNvPicPr>
      </xdr:nvPicPr>
      <xdr:blipFill>
        <a:blip r:embed="rId1">
          <a:extLst>
            <a:ext uri="{28A0092B-C50C-407E-A947-70E740481C1C}">
              <a14:useLocalDpi xmlns:a14="http://schemas.microsoft.com/office/drawing/2010/main" val="0"/>
            </a:ext>
          </a:extLst>
        </a:blip>
        <a:stretch>
          <a:fillRect/>
        </a:stretch>
      </xdr:blipFill>
      <xdr:spPr>
        <a:xfrm>
          <a:off x="0" y="1333500"/>
          <a:ext cx="0" cy="28575"/>
        </a:xfrm>
        <a:prstGeom prst="rect"/>
        <a:ln w="0">
          <a:noFill/>
          <a:prstDash val="solid"/>
        </a:ln>
      </xdr:spPr>
    </xdr:pic>
    <xdr:clientData/>
  </xdr:twoCellAnchor>
</xdr:wsDr>
</file>

<file path=xl/drawings/drawing5.xml><?xml version="1.0" encoding="utf-8"?>
<xdr:wsDr xmlns:xdr="http://schemas.openxmlformats.org/drawingml/2006/spreadsheetDrawing" xmlns:a="http://schemas.openxmlformats.org/drawingml/2006/main" xmlns:r="http://schemas.openxmlformats.org/officeDocument/2006/relationships" xmlns:a14="http://schemas.microsoft.com/office/drawing/2010/main">
  <xdr:twoCellAnchor>
    <xdr:from>
      <xdr:col>4</xdr:col>
      <xdr:colOff>0</xdr:colOff>
      <xdr:row>4</xdr:row>
      <xdr:rowOff>0</xdr:rowOff>
    </xdr:from>
    <xdr:to>
      <xdr:col>8</xdr:col>
      <xdr:colOff>0</xdr:colOff>
      <xdr:row>5</xdr:row>
      <xdr:rowOff>0</xdr:rowOff>
    </xdr:to>
    <xdr:pic>
      <xdr:nvPicPr>
        <xdr:cNvPr id="1" name="UNFREEZE_PANES" descr="update_org.png" hidden="1"/>
        <xdr:cNvPicPr>
          <a:picLocks noChangeAspect="1"/>
        </xdr:cNvPicPr>
      </xdr:nvPicPr>
      <xdr:blipFill>
        <a:blip r:embed="rId1">
          <a:extLst>
            <a:ext uri="{28A0092B-C50C-407E-A947-70E740481C1C}">
              <a14:useLocalDpi xmlns:a14="http://schemas.microsoft.com/office/drawing/2010/main" val="0"/>
            </a:ext>
          </a:extLst>
        </a:blip>
        <a:stretch>
          <a:fillRect/>
        </a:stretch>
      </xdr:blipFill>
      <xdr:spPr>
        <a:xfrm>
          <a:off x="0" y="76200"/>
          <a:ext cx="200025" cy="638175"/>
        </a:xfrm>
        <a:prstGeom prst="rect"/>
        <a:ln w="0">
          <a:noFill/>
          <a:prstDash val="solid"/>
        </a:ln>
      </xdr:spPr>
    </xdr:pic>
    <xdr:clientData/>
  </xdr:twoCellAnchor>
</xdr:wsDr>
</file>

<file path=xl/drawings/drawing6.xml><?xml version="1.0" encoding="utf-8"?>
<xdr:wsDr xmlns:xdr="http://schemas.openxmlformats.org/drawingml/2006/spreadsheetDrawing" xmlns:a="http://schemas.openxmlformats.org/drawingml/2006/main" xmlns:r="http://schemas.openxmlformats.org/officeDocument/2006/relationships" xmlns:a14="http://schemas.microsoft.com/office/drawing/2010/main">
  <xdr:twoCellAnchor>
    <xdr:from>
      <xdr:col>0</xdr:col>
      <xdr:colOff>0</xdr:colOff>
      <xdr:row>13</xdr:row>
      <xdr:rowOff>0</xdr:rowOff>
    </xdr:from>
    <xdr:to>
      <xdr:col>3</xdr:col>
      <xdr:colOff>0</xdr:colOff>
      <xdr:row>13</xdr:row>
      <xdr:rowOff>247650</xdr:rowOff>
    </xdr:to>
    <xdr:pic>
      <xdr:nvPicPr>
        <xdr:cNvPr id="1" name="UNFREEZE_PANES" descr="update_org.png" hidden="1"/>
        <xdr:cNvPicPr>
          <a:picLocks noChangeAspect="1"/>
        </xdr:cNvPicPr>
      </xdr:nvPicPr>
      <xdr:blipFill>
        <a:blip r:embed="rId1">
          <a:extLst>
            <a:ext uri="{28A0092B-C50C-407E-A947-70E740481C1C}">
              <a14:useLocalDpi xmlns:a14="http://schemas.microsoft.com/office/drawing/2010/main" val="0"/>
            </a:ext>
          </a:extLst>
        </a:blip>
        <a:stretch>
          <a:fillRect/>
        </a:stretch>
      </xdr:blipFill>
      <xdr:spPr>
        <a:xfrm>
          <a:off x="0" y="180975"/>
          <a:ext cx="200025" cy="247650"/>
        </a:xfrm>
        <a:prstGeom prst="rect"/>
        <a:ln w="0">
          <a:noFill/>
          <a:prstDash val="solid"/>
        </a:ln>
      </xdr:spPr>
    </xdr:pic>
    <xdr:clientData/>
  </xdr:twoCellAnchor>
</xdr:wsDr>
</file>

<file path=xl/drawings/drawing7.xml><?xml version="1.0" encoding="utf-8"?>
<xdr:wsDr xmlns:xdr="http://schemas.openxmlformats.org/drawingml/2006/spreadsheetDrawing" xmlns:a="http://schemas.openxmlformats.org/drawingml/2006/main" xmlns:r="http://schemas.openxmlformats.org/officeDocument/2006/relationships" xmlns:a14="http://schemas.microsoft.com/office/drawing/2010/main">
  <xdr:twoCellAnchor>
    <xdr:from>
      <xdr:col>0</xdr:col>
      <xdr:colOff>0</xdr:colOff>
      <xdr:row>13</xdr:row>
      <xdr:rowOff>0</xdr:rowOff>
    </xdr:from>
    <xdr:to>
      <xdr:col>4</xdr:col>
      <xdr:colOff>0</xdr:colOff>
      <xdr:row>13</xdr:row>
      <xdr:rowOff>171450</xdr:rowOff>
    </xdr:to>
    <xdr:pic>
      <xdr:nvPicPr>
        <xdr:cNvPr id="1" name="UNFREEZE_PANES" descr="update_org.png" hidden="1"/>
        <xdr:cNvPicPr>
          <a:picLocks noChangeAspect="1"/>
        </xdr:cNvPicPr>
      </xdr:nvPicPr>
      <xdr:blipFill>
        <a:blip r:embed="rId1">
          <a:extLst>
            <a:ext uri="{28A0092B-C50C-407E-A947-70E740481C1C}">
              <a14:useLocalDpi xmlns:a14="http://schemas.microsoft.com/office/drawing/2010/main" val="0"/>
            </a:ext>
          </a:extLst>
        </a:blip>
        <a:stretch>
          <a:fillRect/>
        </a:stretch>
      </xdr:blipFill>
      <xdr:spPr>
        <a:xfrm>
          <a:off x="0" y="76200"/>
          <a:ext cx="200025" cy="171450"/>
        </a:xfrm>
        <a:prstGeom prst="rect"/>
        <a:ln w="0">
          <a:noFill/>
          <a:prstDash val="solid"/>
        </a:ln>
      </xdr:spPr>
    </xdr:pic>
    <xdr:clientData/>
  </xdr:twoCellAnchor>
</xdr:wsDr>
</file>

<file path=xl/drawings/drawing8.xml><?xml version="1.0" encoding="utf-8"?>
<xdr:wsDr xmlns:xdr="http://schemas.openxmlformats.org/drawingml/2006/spreadsheetDrawing" xmlns:a="http://schemas.openxmlformats.org/drawingml/2006/main" xmlns:r="http://schemas.openxmlformats.org/officeDocument/2006/relationships" xmlns:a14="http://schemas.microsoft.com/office/drawing/2010/main">
  <xdr:twoCellAnchor>
    <xdr:from>
      <xdr:col>0</xdr:col>
      <xdr:colOff>0</xdr:colOff>
      <xdr:row>4</xdr:row>
      <xdr:rowOff>0</xdr:rowOff>
    </xdr:from>
    <xdr:to>
      <xdr:col>3</xdr:col>
      <xdr:colOff>0</xdr:colOff>
      <xdr:row>4</xdr:row>
      <xdr:rowOff>247650</xdr:rowOff>
    </xdr:to>
    <xdr:pic>
      <xdr:nvPicPr>
        <xdr:cNvPr id="1" name="UNFREEZE_PANES" descr="update_org.png" hidden="1"/>
        <xdr:cNvPicPr>
          <a:picLocks noChangeAspect="1"/>
        </xdr:cNvPicPr>
      </xdr:nvPicPr>
      <xdr:blipFill>
        <a:blip r:embed="rId1">
          <a:extLst>
            <a:ext uri="{28A0092B-C50C-407E-A947-70E740481C1C}">
              <a14:useLocalDpi xmlns:a14="http://schemas.microsoft.com/office/drawing/2010/main" val="0"/>
            </a:ext>
          </a:extLst>
        </a:blip>
        <a:stretch>
          <a:fillRect/>
        </a:stretch>
      </xdr:blipFill>
      <xdr:spPr>
        <a:xfrm>
          <a:off x="0" y="76200"/>
          <a:ext cx="200025" cy="247650"/>
        </a:xfrm>
        <a:prstGeom prst="rect"/>
        <a:ln w="0">
          <a:noFill/>
          <a:prstDash val="solid"/>
        </a:ln>
      </xdr:spPr>
    </xdr:pic>
    <xdr:clientData/>
  </xdr:two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Тема 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Relationships xmlns="http://schemas.openxmlformats.org/package/2006/relationships"><Relationship Id="rId4" Type="http://schemas.openxmlformats.org/officeDocument/2006/relationships/vmlDrawing" Target="../drawings/vmlDrawing1.vml" /><Relationship Id="rId2" Type="http://schemas.openxmlformats.org/officeDocument/2006/relationships/comments" Target="../comments2.xml" /><Relationship Id="rId3" Type="http://schemas.openxmlformats.org/officeDocument/2006/relationships/drawing" Target="../drawings/drawing1.xml" /><Relationship Id="rId1" Type="http://schemas.openxmlformats.org/officeDocument/2006/relationships/hyperlink" Target="mailto:kubanaqua@mail.ru" TargetMode="External" /></Relationships>
</file>

<file path=xl/worksheets/_rels/sheet3.xml.rels><?xml version="1.0" encoding="UTF-8" standalone="yes"?><Relationships xmlns="http://schemas.openxmlformats.org/package/2006/relationships"><Relationship Id="rId1" Type="http://schemas.openxmlformats.org/officeDocument/2006/relationships/drawing" Target="../drawings/drawing2.xml" /></Relationships>
</file>

<file path=xl/worksheets/_rels/sheet4.xml.rels><?xml version="1.0" encoding="UTF-8" standalone="yes"?><Relationships xmlns="http://schemas.openxmlformats.org/package/2006/relationships"><Relationship Id="rId1" Type="http://schemas.openxmlformats.org/officeDocument/2006/relationships/drawing" Target="../drawings/drawing3.xml" /></Relationships>
</file>

<file path=xl/worksheets/_rels/sheet35.xml.rels><?xml version="1.0" encoding="UTF-8" standalone="yes"?><Relationships xmlns="http://schemas.openxmlformats.org/package/2006/relationships"><Relationship Id="rId1" Type="http://schemas.openxmlformats.org/officeDocument/2006/relationships/drawing" Target="../drawings/drawing4.xml" /></Relationships>
</file>

<file path=xl/worksheets/_rels/sheet36.xml.rels><?xml version="1.0" encoding="UTF-8" standalone="yes"?><Relationships xmlns="http://schemas.openxmlformats.org/package/2006/relationships"><Relationship Id="rId1" Type="http://schemas.openxmlformats.org/officeDocument/2006/relationships/drawing" Target="../drawings/drawing5.xml" /></Relationships>
</file>

<file path=xl/worksheets/_rels/sheet47.xml.rels><?xml version="1.0" encoding="UTF-8" standalone="yes"?><Relationships xmlns="http://schemas.openxmlformats.org/package/2006/relationships"><Relationship Id="rId1" Type="http://schemas.openxmlformats.org/officeDocument/2006/relationships/drawing" Target="../drawings/drawing6.xml" /></Relationships>
</file>

<file path=xl/worksheets/_rels/sheet48.xml.rels><?xml version="1.0" encoding="UTF-8" standalone="yes"?><Relationships xmlns="http://schemas.openxmlformats.org/package/2006/relationships"><Relationship Id="rId1" Type="http://schemas.openxmlformats.org/officeDocument/2006/relationships/drawing" Target="../drawings/drawing7.xml" /></Relationships>
</file>

<file path=xl/worksheets/_rels/sheet49.xml.rels><?xml version="1.0" encoding="UTF-8" standalone="yes"?><Relationships xmlns="http://schemas.openxmlformats.org/package/2006/relationships"><Relationship Id="rId1" Type="http://schemas.openxmlformats.org/officeDocument/2006/relationships/drawing" Target="../drawings/drawing8.xml" /></Relationships>
</file>

<file path=xl/worksheets/_rels/sheet51.xml.rels><?xml version="1.0" encoding="UTF-8" standalone="yes"?><Relationships xmlns="http://schemas.openxmlformats.org/package/2006/relationships"><Relationship Id="rId2" Type="http://schemas.openxmlformats.org/officeDocument/2006/relationships/vmlDrawing" Target="../drawings/vmlDrawing2.vml" /><Relationship Id="rId1" Type="http://schemas.openxmlformats.org/officeDocument/2006/relationships/comments" Target="../comments51.xml" /></Relationships>
</file>

<file path=xl/worksheets/_rels/sheet63.xml.rels><?xml version="1.0" encoding="UTF-8" standalone="yes"?><Relationships xmlns="http://schemas.openxmlformats.org/package/2006/relationships"><Relationship Id="rId2" Type="http://schemas.openxmlformats.org/officeDocument/2006/relationships/vmlDrawing" Target="../drawings/vmlDrawing3.vml" /><Relationship Id="rId1" Type="http://schemas.openxmlformats.org/officeDocument/2006/relationships/comments" Target="../comments63.xml"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m="http://schemas.microsoft.com/office/excel/2006/main" xmlns:x14ac="http://schemas.microsoft.com/office/spreadsheetml/2009/9/ac" xmlns:xr="http://schemas.microsoft.com/office/spreadsheetml/2014/revision" xmlns:xr2="http://schemas.microsoft.com/office/spreadsheetml/2015/revision2" xmlns:xr3="http://schemas.microsoft.com/office/spreadsheetml/2016/revision3" xr:uid="{AEEDB255-7015-6BB6-3402-6CB5A3225C47}" mc:Ignorable="x14ac xr xr2 xr3">
  <dimension ref="A1:AB21"/>
  <sheetViews>
    <sheetView showGridLines="0" showRowColHeaders="0" workbookViewId="0" topLeftCell="A1">
      <selection pane="topLeft" activeCell="A1" sqref="A1"/>
    </sheetView>
  </sheetViews>
  <sheetFormatPr defaultColWidth="11.0042857142857" defaultRowHeight="12.75" customHeight="1"/>
  <cols>
    <col min="1" max="1" width="5.42857142857143" style="2638" customWidth="1"/>
    <col min="2" max="2" width="9.14285714285714" style="2638" customWidth="1"/>
    <col min="3" max="3" width="16.4285714285714" style="2638" customWidth="1"/>
    <col min="4" max="25" width="6.28571428571429" style="2638" customWidth="1"/>
    <col min="26" max="28" width="11" style="2638"/>
  </cols>
  <sheetData>
    <row r="1" spans="1:28" ht="15.75" customHeight="1">
      <c r="A1" s="1703"/>
      <c s="1704"/>
      <c s="1704"/>
      <c s="1704"/>
      <c s="1704"/>
      <c s="1704"/>
      <c s="1704"/>
      <c s="1704"/>
      <c s="1704"/>
      <c s="1704"/>
      <c s="1704"/>
      <c s="1704"/>
      <c s="1704"/>
      <c s="1704"/>
      <c s="1704"/>
      <c s="1704"/>
      <c s="1704"/>
      <c s="1704"/>
      <c s="1704"/>
      <c s="1704"/>
      <c s="1704"/>
      <c s="1704"/>
      <c s="1704"/>
      <c s="1704"/>
      <c s="1705"/>
      <c s="1704"/>
      <c s="1706" t="s">
        <v>0</v>
      </c>
      <c s="1704"/>
    </row>
    <row r="2" spans="1:28" ht="17.25" customHeight="1">
      <c r="A2" s="1704"/>
      <c s="2080" t="s">
        <v>1</v>
      </c>
      <c s="2080"/>
      <c s="2080"/>
      <c s="2080"/>
      <c s="2080"/>
      <c s="2080"/>
      <c s="2080"/>
      <c s="2080"/>
      <c s="2080"/>
      <c s="2080"/>
      <c s="2080"/>
      <c s="2080"/>
      <c s="2080"/>
      <c s="2080"/>
      <c s="2080"/>
      <c s="1708"/>
      <c s="1708"/>
      <c s="1708"/>
      <c s="1708"/>
      <c s="1708"/>
      <c s="1709"/>
      <c s="1708"/>
      <c s="1708"/>
      <c s="1705"/>
      <c s="1704"/>
      <c s="1706"/>
      <c s="1704"/>
    </row>
    <row r="3" spans="1:28" ht="15.75" customHeight="1">
      <c r="A3" s="1704"/>
      <c s="2081" t="s">
        <v>2</v>
      </c>
      <c s="2081"/>
      <c s="2081"/>
      <c s="2081"/>
      <c s="2081"/>
      <c s="2081"/>
      <c s="2081"/>
      <c s="2081"/>
      <c s="2081"/>
      <c s="2081"/>
      <c s="2081"/>
      <c s="2081"/>
      <c s="2081"/>
      <c s="2081"/>
      <c s="2081"/>
      <c s="1709"/>
      <c s="1709"/>
      <c s="1708"/>
      <c s="1708"/>
      <c s="1708"/>
      <c s="1709"/>
      <c s="1709"/>
      <c s="1709"/>
      <c s="1709"/>
      <c s="1704"/>
      <c s="1706"/>
      <c s="1704"/>
    </row>
    <row r="4" spans="1:28" ht="17.25" customHeight="1">
      <c r="A4" s="1704"/>
      <c s="1710"/>
      <c s="1704"/>
      <c s="1709"/>
      <c s="1709"/>
      <c s="1709"/>
      <c s="1709"/>
      <c s="1709"/>
      <c s="1709"/>
      <c s="1709"/>
      <c s="1709"/>
      <c s="1709"/>
      <c s="1709"/>
      <c s="1709"/>
      <c s="1709"/>
      <c s="1709"/>
      <c s="1709"/>
      <c s="1709"/>
      <c s="1709"/>
      <c s="1709"/>
      <c s="1709"/>
      <c s="1709"/>
      <c s="1709"/>
      <c s="1709"/>
      <c s="1709"/>
      <c s="1704"/>
      <c s="1706"/>
      <c s="1704"/>
    </row>
    <row r="5" spans="1:28" ht="22.5" customHeight="1">
      <c r="A5" s="1711"/>
      <c s="2082" t="str">
        <f>IF(TEMPLATE_SPHERE="","Информация, подлежащая раскрытию регулируемыми организациями",Титульный!E5)</f>
        <v>Информация о наличии (отсутствии) технической возможности подключения к централизованной системе водоотведения, а также о регистрации и ходе реализации заявок о подключении к централизованной системе водоотведения</v>
      </c>
      <c s="2083"/>
      <c s="2083"/>
      <c s="2083"/>
      <c s="2083"/>
      <c s="2083"/>
      <c s="2083"/>
      <c s="2083"/>
      <c s="2083"/>
      <c s="2083"/>
      <c s="2083"/>
      <c s="2083"/>
      <c s="2083"/>
      <c s="2083"/>
      <c s="2083"/>
      <c s="2083"/>
      <c s="2083"/>
      <c s="2083"/>
      <c s="2083"/>
      <c s="2083"/>
      <c s="2083"/>
      <c s="2083"/>
      <c s="2083"/>
      <c s="2084"/>
      <c s="1711"/>
      <c s="1706"/>
      <c s="1711"/>
    </row>
    <row r="6" spans="1:28" ht="15" customHeight="1">
      <c r="A6" s="1712"/>
      <c s="2085" t="s">
        <v>3</v>
      </c>
      <c s="2086"/>
      <c s="1713"/>
      <c s="1713"/>
      <c s="1713"/>
      <c s="1713"/>
      <c s="1713"/>
      <c s="1713"/>
      <c s="1713"/>
      <c s="1713"/>
      <c s="1713"/>
      <c s="1713"/>
      <c s="1713"/>
      <c s="1713"/>
      <c s="1713"/>
      <c s="1713"/>
      <c s="1713"/>
      <c s="1713"/>
      <c s="1713"/>
      <c s="1713"/>
      <c s="1713"/>
      <c s="1713"/>
      <c s="1713"/>
      <c s="1714"/>
      <c s="1715"/>
      <c s="1716"/>
      <c s="1716"/>
    </row>
    <row r="7" spans="1:28" ht="15" customHeight="1">
      <c r="A7" s="1712"/>
      <c s="2085"/>
      <c s="2086"/>
      <c s="1713"/>
      <c s="1713"/>
      <c s="1717"/>
      <c s="1717"/>
      <c s="1717"/>
      <c s="1717"/>
      <c s="1717"/>
      <c s="1717"/>
      <c s="1717"/>
      <c s="1717"/>
      <c s="1717"/>
      <c s="1713"/>
      <c s="1717"/>
      <c s="1717"/>
      <c s="1717"/>
      <c s="1717"/>
      <c s="1717"/>
      <c s="1717"/>
      <c s="1717"/>
      <c s="1717"/>
      <c s="1717"/>
      <c s="1714"/>
      <c s="1715"/>
      <c s="1716"/>
      <c s="1716"/>
    </row>
    <row r="8" spans="1:28" ht="15" customHeight="1">
      <c r="A8" s="1712"/>
      <c s="2085"/>
      <c s="2086"/>
      <c s="1718"/>
      <c s="1719" t="s">
        <v>4</v>
      </c>
      <c s="2088" t="s">
        <v>5</v>
      </c>
      <c s="2089"/>
      <c s="2089"/>
      <c s="2089"/>
      <c s="2089"/>
      <c s="2089"/>
      <c s="2089"/>
      <c s="2089"/>
      <c s="1718"/>
      <c s="1720" t="s">
        <v>4</v>
      </c>
      <c s="2090" t="s">
        <v>6</v>
      </c>
      <c s="2091"/>
      <c s="2091"/>
      <c s="2091"/>
      <c s="2091"/>
      <c s="2091"/>
      <c s="2091"/>
      <c s="2091"/>
      <c s="2091"/>
      <c s="1714"/>
      <c s="1715"/>
      <c s="1716"/>
      <c s="1716"/>
    </row>
    <row r="9" spans="1:28" ht="15" customHeight="1">
      <c r="A9" s="1712"/>
      <c s="2085"/>
      <c s="2086"/>
      <c s="1718"/>
      <c s="1721" t="s">
        <v>4</v>
      </c>
      <c s="2088" t="s">
        <v>7</v>
      </c>
      <c s="2089"/>
      <c s="2089"/>
      <c s="2089"/>
      <c s="2089"/>
      <c s="2089"/>
      <c s="2089"/>
      <c s="2089"/>
      <c s="1718"/>
      <c s="1722" t="s">
        <v>4</v>
      </c>
      <c s="2090" t="s">
        <v>8</v>
      </c>
      <c s="2091"/>
      <c s="2091"/>
      <c s="2091"/>
      <c s="2091"/>
      <c s="2091"/>
      <c s="2091"/>
      <c s="2091"/>
      <c s="2091"/>
      <c s="1714"/>
      <c s="1715"/>
      <c s="1716"/>
      <c s="1716"/>
    </row>
    <row r="10" spans="1:28" ht="30" customHeight="1">
      <c r="A10" s="1712"/>
      <c s="2085"/>
      <c s="2087"/>
      <c s="1723"/>
      <c s="1724"/>
      <c s="1717"/>
      <c s="1717"/>
      <c s="1717"/>
      <c s="1717"/>
      <c s="1717"/>
      <c s="1717"/>
      <c s="1717"/>
      <c s="1717"/>
      <c s="1717"/>
      <c s="1724"/>
      <c s="1717"/>
      <c s="1717"/>
      <c s="1717"/>
      <c s="1717"/>
      <c s="1717"/>
      <c s="1717"/>
      <c s="1717"/>
      <c s="1717"/>
      <c s="1717"/>
      <c s="1714"/>
      <c s="1715"/>
      <c s="1716"/>
      <c s="1716"/>
    </row>
    <row r="11" spans="1:28" ht="19.5" customHeight="1">
      <c r="A11" s="1712"/>
      <c s="2092" t="s">
        <v>9</v>
      </c>
      <c s="2093"/>
      <c s="1718"/>
      <c s="1725"/>
      <c s="1725"/>
      <c s="1725"/>
      <c s="1725"/>
      <c s="1725"/>
      <c s="1725"/>
      <c s="1725"/>
      <c s="1725"/>
      <c s="1725"/>
      <c s="1725"/>
      <c s="1725"/>
      <c s="1725"/>
      <c s="1725"/>
      <c s="1725"/>
      <c s="1725"/>
      <c s="1725"/>
      <c s="1725"/>
      <c s="1725"/>
      <c s="1725"/>
      <c s="1725"/>
      <c s="1714"/>
      <c s="1715"/>
      <c s="1716"/>
      <c s="1716"/>
    </row>
    <row r="12" spans="1:28" ht="69" customHeight="1">
      <c r="A12" s="1712"/>
      <c s="2085"/>
      <c s="2087"/>
      <c s="1726"/>
      <c s="2089" t="s">
        <v>10</v>
      </c>
      <c s="2089"/>
      <c s="2089"/>
      <c s="2089"/>
      <c s="2089"/>
      <c s="2089"/>
      <c s="2089"/>
      <c s="2089"/>
      <c s="2089"/>
      <c s="2089"/>
      <c s="2089"/>
      <c s="2089"/>
      <c s="2089"/>
      <c s="2089"/>
      <c s="2089"/>
      <c s="2089"/>
      <c s="2089"/>
      <c s="2089"/>
      <c s="2089"/>
      <c s="2089"/>
      <c s="1714"/>
      <c s="1715"/>
      <c s="1716"/>
      <c s="1716"/>
    </row>
    <row r="13" spans="1:28" ht="15" customHeight="1">
      <c r="A13" s="1712"/>
      <c s="2092" t="s">
        <v>11</v>
      </c>
      <c s="2093"/>
      <c s="1713"/>
      <c s="1725"/>
      <c s="1725"/>
      <c s="1725"/>
      <c s="1725"/>
      <c s="1725"/>
      <c s="1725"/>
      <c s="1725"/>
      <c s="1725"/>
      <c s="1725"/>
      <c s="1725"/>
      <c s="1725"/>
      <c s="1725"/>
      <c s="1725"/>
      <c s="1725"/>
      <c s="1725"/>
      <c s="1725"/>
      <c s="1725"/>
      <c s="1725"/>
      <c s="1725"/>
      <c s="1725"/>
      <c s="1714"/>
      <c s="1715"/>
      <c s="1716"/>
      <c s="1716"/>
    </row>
    <row r="14" spans="1:28" ht="57" customHeight="1">
      <c r="A14" s="1712"/>
      <c s="2085"/>
      <c s="2086"/>
      <c s="1718"/>
      <c s="2096" t="s">
        <v>12</v>
      </c>
      <c s="2096"/>
      <c s="2096"/>
      <c s="2096"/>
      <c s="2096"/>
      <c s="2096"/>
      <c s="2096"/>
      <c s="2096"/>
      <c s="2096"/>
      <c s="2096"/>
      <c s="2096"/>
      <c s="2096"/>
      <c s="2096"/>
      <c s="2096"/>
      <c s="2096"/>
      <c s="2096"/>
      <c s="2096"/>
      <c s="2096"/>
      <c s="2096"/>
      <c s="2096"/>
      <c s="1714"/>
      <c s="1715"/>
      <c s="1716"/>
      <c s="1716"/>
    </row>
    <row r="15" spans="1:28" ht="16.5" customHeight="1">
      <c r="A15" s="1712"/>
      <c s="2094"/>
      <c s="2095"/>
      <c s="1727"/>
      <c s="1728"/>
      <c s="1728"/>
      <c s="1728"/>
      <c s="1728"/>
      <c s="1728"/>
      <c s="1728"/>
      <c s="1728"/>
      <c s="1728"/>
      <c s="1728"/>
      <c s="1728"/>
      <c s="1728"/>
      <c s="1728"/>
      <c s="1728"/>
      <c s="1728"/>
      <c s="1728"/>
      <c s="1728"/>
      <c s="1728"/>
      <c s="1728"/>
      <c s="1728"/>
      <c s="1728"/>
      <c s="1729"/>
      <c s="1715"/>
      <c s="1730"/>
      <c s="1716"/>
    </row>
    <row r="16" spans="1:28" ht="95.25" customHeight="1">
      <c r="A16" s="1704"/>
      <c s="2096"/>
      <c s="2097"/>
      <c s="2097"/>
      <c s="2097"/>
      <c s="2097"/>
      <c s="2097"/>
      <c s="2097"/>
      <c s="2097"/>
      <c s="2097"/>
      <c s="2097"/>
      <c s="2097"/>
      <c s="2097"/>
      <c s="2097"/>
      <c s="2097"/>
      <c s="2097"/>
      <c s="2097"/>
      <c s="2097"/>
      <c s="2097"/>
      <c s="2097"/>
      <c s="2097"/>
      <c s="2097"/>
      <c s="2097"/>
      <c s="2097"/>
      <c s="2097"/>
      <c s="1704"/>
      <c s="1706"/>
      <c s="1704"/>
    </row>
    <row r="17" spans="1:28" ht="14.25" customHeight="1">
      <c r="A17" s="1704"/>
      <c s="1704"/>
      <c s="1704"/>
      <c s="1704"/>
      <c s="1704"/>
      <c s="1704"/>
      <c s="1704"/>
      <c s="1704"/>
      <c s="1704"/>
      <c s="1704"/>
      <c s="1704"/>
      <c s="1704"/>
      <c s="1704"/>
      <c s="1704"/>
      <c s="1704"/>
      <c s="1704"/>
      <c s="1704"/>
      <c s="1704"/>
      <c s="1704"/>
      <c s="1704"/>
      <c s="1704"/>
      <c s="1704"/>
      <c s="1704"/>
      <c s="1704"/>
      <c s="1705"/>
      <c s="1704"/>
      <c s="1706"/>
      <c s="1704"/>
    </row>
    <row r="18" spans="1:28" ht="14.25" customHeight="1">
      <c r="A18" s="1704"/>
      <c s="1704"/>
      <c s="1704"/>
      <c s="1704"/>
      <c s="1704"/>
      <c s="1704"/>
      <c s="1704"/>
      <c s="1704"/>
      <c s="1704"/>
      <c s="1704"/>
      <c s="1704"/>
      <c s="1704"/>
      <c s="1704"/>
      <c s="1704"/>
      <c s="1704"/>
      <c s="1704"/>
      <c s="1704"/>
      <c s="1704"/>
      <c s="1704"/>
      <c s="1704"/>
      <c s="1704"/>
      <c s="1704"/>
      <c s="1704"/>
      <c s="1704"/>
      <c s="1705"/>
      <c s="1704"/>
      <c s="1706"/>
      <c s="1704"/>
    </row>
    <row r="19" spans="1:28" ht="14.25" customHeight="1">
      <c r="A19" s="1704"/>
      <c s="1704"/>
      <c s="1704"/>
      <c s="1704"/>
      <c s="1704"/>
      <c s="1704"/>
      <c s="1704"/>
      <c s="1704"/>
      <c s="1704"/>
      <c s="1704"/>
      <c s="1704"/>
      <c s="1704"/>
      <c s="1704"/>
      <c s="1704"/>
      <c s="1704"/>
      <c s="1704"/>
      <c s="1704"/>
      <c s="1704"/>
      <c s="1704"/>
      <c s="1704"/>
      <c s="1704"/>
      <c s="1704"/>
      <c s="1704"/>
      <c s="1704"/>
      <c s="1705"/>
      <c s="1704"/>
      <c s="1706"/>
      <c s="1704"/>
    </row>
    <row r="20" spans="1:28" ht="14.25" customHeight="1">
      <c r="A20" s="1704"/>
      <c s="1704"/>
      <c s="1704"/>
      <c s="1704"/>
      <c s="1704"/>
      <c s="1704"/>
      <c s="1704"/>
      <c s="1704"/>
      <c s="1704"/>
      <c s="1704"/>
      <c s="1704"/>
      <c s="1704"/>
      <c s="1704"/>
      <c s="1704"/>
      <c s="1704"/>
      <c s="1704"/>
      <c s="1704"/>
      <c s="1704"/>
      <c s="1704"/>
      <c s="1704"/>
      <c s="1704"/>
      <c s="1704"/>
      <c s="1704"/>
      <c s="1704"/>
      <c s="1705"/>
      <c s="1704"/>
      <c s="1706"/>
      <c s="1704"/>
    </row>
    <row r="21" spans="1:28" ht="14.25" customHeight="1">
      <c r="A21" s="1704"/>
      <c s="1704"/>
      <c s="1704"/>
      <c s="1704"/>
      <c s="1704"/>
      <c s="1704"/>
      <c s="1704"/>
      <c s="1704"/>
      <c s="1704"/>
      <c s="1704"/>
      <c s="1704"/>
      <c s="1704"/>
      <c s="1704"/>
      <c s="1704"/>
      <c s="1704"/>
      <c s="1704"/>
      <c s="1704"/>
      <c s="1704"/>
      <c s="1704"/>
      <c s="1704"/>
      <c s="1704"/>
      <c s="1704"/>
      <c s="1704"/>
      <c s="1704"/>
      <c s="1705"/>
      <c s="1704"/>
      <c s="1706"/>
      <c s="1704"/>
    </row>
  </sheetData>
  <sheetProtection formatColumns="0" formatRows="0" insertRows="0" deleteColumns="0" deleteRows="0" sort="0" autoFilter="0"/>
  <mergeCells count="13">
    <mergeCell ref="B11:C12"/>
    <mergeCell ref="E12:X12"/>
    <mergeCell ref="B13:C15"/>
    <mergeCell ref="E14:X14"/>
    <mergeCell ref="B16:Y16"/>
    <mergeCell ref="B2:P2"/>
    <mergeCell ref="B3:P3"/>
    <mergeCell ref="B5:Y5"/>
    <mergeCell ref="B6:C10"/>
    <mergeCell ref="F8:M8"/>
    <mergeCell ref="P8:X8"/>
    <mergeCell ref="F9:M9"/>
    <mergeCell ref="P9:X9"/>
  </mergeCells>
  <pageMargins left="0.7" right="0.7" top="0.75" bottom="0.75" header="0.3" footer="0.3"/>
  <pageSetup orientation="portrai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m="http://schemas.microsoft.com/office/excel/2006/main" xmlns:x14ac="http://schemas.microsoft.com/office/spreadsheetml/2009/9/ac" xmlns:xr="http://schemas.microsoft.com/office/spreadsheetml/2014/revision" xmlns:xr2="http://schemas.microsoft.com/office/spreadsheetml/2015/revision2" xmlns:xr3="http://schemas.microsoft.com/office/spreadsheetml/2016/revision3" xr:uid="{D4EC45CA-80DB-FE7C-53E2-F532CC6E68CF}" mc:Ignorable="x14ac xr xr2 xr3">
  <sheetPr>
    <tabColor rgb="FFCCCCFF"/>
  </sheetPr>
  <dimension ref="A1:Q79"/>
  <sheetViews>
    <sheetView showGridLines="0" tabSelected="1" zoomScale="90" zoomScaleNormal="90" workbookViewId="0" topLeftCell="C1">
      <selection pane="topLeft" activeCell="I66" sqref="I66"/>
    </sheetView>
  </sheetViews>
  <sheetFormatPr defaultColWidth="9.14428571428571" defaultRowHeight="11.25" customHeight="1"/>
  <cols>
    <col min="1" max="1" width="10.7142857142857" style="790" hidden="1" customWidth="1"/>
    <col min="2" max="2" width="10.7142857142857" style="735" hidden="1" customWidth="1"/>
    <col min="3" max="3" width="3" style="533" customWidth="1"/>
    <col min="4" max="4" width="1" style="1638" customWidth="1"/>
    <col min="5" max="6" width="55" style="1638" customWidth="1"/>
    <col min="7" max="7" width="1" style="2128" customWidth="1"/>
    <col min="8" max="8" width="18" style="1638" hidden="1" customWidth="1"/>
    <col min="9" max="9" width="59" style="534" customWidth="1"/>
    <col min="10" max="10" width="52.1428571428571" style="1369" hidden="1" customWidth="1"/>
    <col min="11" max="11" width="8" style="1638" customWidth="1"/>
    <col min="12" max="12" width="77" style="1638" customWidth="1"/>
    <col min="13" max="16" width="8" style="1638" customWidth="1"/>
    <col min="17" max="17" width="12" style="1638" hidden="1" customWidth="1"/>
  </cols>
  <sheetData>
    <row r="1" spans="1:17" s="625" customFormat="1" ht="3" customHeight="1">
      <c r="A1" s="786"/>
      <c s="244"/>
      <c r="F1" s="245" t="s">
        <v>13</v>
      </c>
      <c s="414"/>
      <c s="74"/>
      <c s="414"/>
      <c s="874"/>
      <c r="Q1" s="245" t="s">
        <v>14</v>
      </c>
    </row>
    <row r="2" spans="1:17" s="1635" customFormat="1" ht="14.25" customHeight="1">
      <c r="A2" s="786"/>
      <c s="101"/>
      <c r="E2" s="1743" t="str">
        <f>code</f>
        <v>Код отчёта: PP108.OPEN.INFO.QUARTER.VOTV.EIAS</v>
      </c>
      <c s="272"/>
      <c s="248"/>
      <c s="248"/>
      <c s="248"/>
      <c s="875"/>
      <c s="248"/>
      <c r="Q2" s="74">
        <v>14</v>
      </c>
    </row>
    <row r="3" spans="5:17" ht="14.7" customHeight="1">
      <c r="E3" s="249" t="str">
        <f>version</f>
        <v>Версия отчёта: 1.1.1</v>
      </c>
      <c s="272"/>
      <c s="773"/>
      <c s="773"/>
      <c s="773"/>
      <c s="876"/>
      <c s="91"/>
      <c r="Q3" s="77">
        <v>14</v>
      </c>
    </row>
    <row r="4" spans="1:17" s="1615" customFormat="1" ht="6.3" customHeight="1">
      <c r="A4" s="787"/>
      <c s="235"/>
      <c s="236"/>
      <c s="237"/>
      <c s="246"/>
      <c s="247"/>
      <c s="774"/>
      <c s="412"/>
      <c s="414"/>
      <c s="877"/>
      <c r="Q4" s="239">
        <v>6</v>
      </c>
    </row>
    <row r="5" spans="4:17" ht="39.75" customHeight="1">
      <c r="D5" s="78"/>
      <c s="2098" t="str">
        <f>NameTemplatesInTitle</f>
        <v>Информация о наличии (отсутствии) технической возможности подключения к централизованной системе водоотведения, а также о регистрации и ходе реализации заявок о подключении к централизованной системе водоотведения</v>
      </c>
      <c s="2099"/>
      <c s="775"/>
      <c r="J5" s="878"/>
      <c r="Q5" s="77">
        <v>38</v>
      </c>
    </row>
    <row r="6" spans="1:17" s="1615" customFormat="1" ht="6.3" customHeight="1">
      <c r="A6" s="787"/>
      <c s="235"/>
      <c s="236"/>
      <c s="237"/>
      <c s="240"/>
      <c s="241"/>
      <c s="775"/>
      <c s="412"/>
      <c s="414"/>
      <c s="877"/>
      <c r="Q6" s="239">
        <v>6</v>
      </c>
    </row>
    <row r="7" spans="4:17" ht="21" customHeight="1">
      <c r="D7" s="78"/>
      <c s="394" t="s">
        <v>15</v>
      </c>
      <c s="218" t="s">
        <v>16</v>
      </c>
      <c s="775"/>
      <c r="Q7" s="77">
        <v>20</v>
      </c>
    </row>
    <row r="8" spans="1:17" s="1615" customFormat="1" ht="6.3" customHeight="1">
      <c r="A8" s="788"/>
      <c s="235"/>
      <c s="236"/>
      <c s="242"/>
      <c s="240"/>
      <c s="243"/>
      <c s="80"/>
      <c s="412"/>
      <c s="414"/>
      <c s="880"/>
      <c r="Q8" s="239">
        <v>6</v>
      </c>
    </row>
    <row r="9" spans="1:17" s="1638" customFormat="1" ht="19.5" customHeight="1" hidden="1">
      <c r="A9" s="787"/>
      <c s="101"/>
      <c s="411"/>
      <c s="413"/>
      <c s="1168" t="s">
        <v>17</v>
      </c>
      <c s="1924"/>
      <c s="775"/>
      <c r="I9" s="1903" t="str">
        <f>IF(TITLE_STRUCTURE_INFO_ROIV="","","раскрывается "&amp;INDEX(ROIV_INFO_COMMENT,MATCH(TITLE_STRUCTURE_INFO_ROIV,ROIV_INFO_LIST,0)))</f>
        <v/>
      </c>
      <c s="879"/>
      <c r="Q9" s="412">
        <v>0</v>
      </c>
    </row>
    <row r="10" spans="1:17" s="1615" customFormat="1" ht="24" customHeight="1" hidden="1">
      <c r="A10" s="788"/>
      <c s="429"/>
      <c s="430"/>
      <c s="242"/>
      <c s="1168" t="s">
        <v>18</v>
      </c>
      <c s="2069" t="s">
        <v>19</v>
      </c>
      <c s="80"/>
      <c s="412"/>
      <c s="414"/>
      <c s="880"/>
      <c r="Q10" s="433">
        <v>24</v>
      </c>
    </row>
    <row r="11" spans="1:17" ht="22.5" customHeight="1" hidden="1">
      <c r="A11" s="2101" t="s">
        <v>20</v>
      </c>
      <c r="D11" s="78"/>
      <c s="1168" t="s">
        <v>21</v>
      </c>
      <c s="1735" t="s">
        <v>22</v>
      </c>
      <c s="80"/>
      <c s="776" t="s">
        <v>23</v>
      </c>
      <c r="J11" s="879" t="s">
        <v>24</v>
      </c>
      <c r="Q11" s="77">
        <v>0</v>
      </c>
    </row>
    <row r="12" spans="1:17" ht="22.5" customHeight="1" hidden="1">
      <c r="A12" s="2101"/>
      <c r="D12" s="78"/>
      <c s="1168" t="s">
        <v>25</v>
      </c>
      <c s="1735"/>
      <c s="76"/>
      <c r="J12" s="879" t="s">
        <v>26</v>
      </c>
      <c r="Q12" s="77">
        <v>0</v>
      </c>
    </row>
    <row r="13" spans="1:17" s="1638" customFormat="1" ht="22.5" customHeight="1" hidden="1">
      <c r="A13" s="791" t="s">
        <v>27</v>
      </c>
      <c s="101"/>
      <c s="411"/>
      <c s="413"/>
      <c s="1778" t="s">
        <v>28</v>
      </c>
      <c s="1735" t="s">
        <v>22</v>
      </c>
      <c s="80"/>
      <c s="773"/>
      <c s="414"/>
      <c s="1779" t="s">
        <v>29</v>
      </c>
      <c r="Q13" s="412">
        <v>0</v>
      </c>
    </row>
    <row r="14" spans="1:17" s="1638" customFormat="1" ht="27" customHeight="1">
      <c r="A14" s="791" t="s">
        <v>30</v>
      </c>
      <c s="101"/>
      <c s="411"/>
      <c s="413"/>
      <c s="1168" t="s">
        <v>31</v>
      </c>
      <c s="1770">
        <v>2024</v>
      </c>
      <c s="80"/>
      <c s="773"/>
      <c s="414"/>
      <c s="879" t="s">
        <v>32</v>
      </c>
      <c r="Q14" s="412">
        <v>0</v>
      </c>
    </row>
    <row r="15" spans="1:17" s="1638" customFormat="1" ht="19.5" customHeight="1">
      <c r="A15" s="791" t="s">
        <v>33</v>
      </c>
      <c s="101"/>
      <c s="411"/>
      <c s="413"/>
      <c s="1168" t="s">
        <v>34</v>
      </c>
      <c s="1770" t="s">
        <v>35</v>
      </c>
      <c s="80"/>
      <c s="773"/>
      <c s="414"/>
      <c s="879" t="s">
        <v>36</v>
      </c>
      <c r="Q15" s="412">
        <v>0</v>
      </c>
    </row>
    <row r="16" spans="1:17" s="1615" customFormat="1" ht="6.3" customHeight="1">
      <c r="A16" s="788"/>
      <c s="235"/>
      <c s="236"/>
      <c s="242"/>
      <c s="240"/>
      <c s="243"/>
      <c s="80"/>
      <c s="412"/>
      <c s="414"/>
      <c s="877"/>
      <c r="Q16" s="239">
        <v>6</v>
      </c>
    </row>
    <row r="17" spans="4:17" ht="21" customHeight="1">
      <c r="D17" s="78"/>
      <c s="394" t="s">
        <v>37</v>
      </c>
      <c s="219" t="s">
        <v>38</v>
      </c>
      <c s="76"/>
      <c s="776" t="s">
        <v>23</v>
      </c>
      <c r="Q17" s="77">
        <v>20</v>
      </c>
    </row>
    <row r="18" spans="4:17" ht="25.5" customHeight="1" hidden="1">
      <c r="D18" s="78"/>
      <c s="1778" t="s">
        <v>39</v>
      </c>
      <c s="1736"/>
      <c s="76"/>
      <c r="I18" s="777"/>
      <c s="2100" t="s">
        <v>40</v>
      </c>
      <c r="Q18" s="77">
        <v>0</v>
      </c>
    </row>
    <row r="19" spans="4:17" ht="25.5" customHeight="1" hidden="1">
      <c r="D19" s="78"/>
      <c s="1168" t="str">
        <f>"Дата периода регулирования, с которой "&amp;IF(TEMPLATE_GROUP="P","вводятся","предлагаются")&amp;" изменения в тарифы"</f>
        <v>Дата периода регулирования, с которой предлагаются изменения в тарифы</v>
      </c>
      <c s="1736"/>
      <c s="76"/>
      <c r="I19" s="777"/>
      <c s="2100"/>
      <c r="Q19" s="77">
        <v>0</v>
      </c>
    </row>
    <row r="20" spans="4:17" ht="22.5" customHeight="1" hidden="1">
      <c r="D20" s="78"/>
      <c s="79"/>
      <c s="273" t="str">
        <f>"Первичное "&amp;IF(TEMPLATE_GROUP="P","установление тарифов","предложение по тарифам")</f>
        <v>Первичное предложение по тарифам</v>
      </c>
      <c s="76"/>
      <c r="I20" s="397"/>
      <c s="878" t="s">
        <v>41</v>
      </c>
      <c r="Q20" s="77">
        <v>0</v>
      </c>
    </row>
    <row r="21" spans="4:17" ht="19.5" customHeight="1" hidden="1">
      <c r="D21" s="78"/>
      <c s="394" t="str">
        <f>"Дата "&amp;IF(TEMPLATE_GROUP="P","документа","подачи заявления")&amp;" об утверждении тарифов"</f>
        <v>Дата подачи заявления об утверждении тарифов</v>
      </c>
      <c s="1735"/>
      <c s="76"/>
      <c r="I21" s="778"/>
      <c r="Q21" s="77">
        <v>0</v>
      </c>
    </row>
    <row r="22" spans="4:17" ht="19.5" customHeight="1" hidden="1">
      <c r="D22" s="78"/>
      <c s="394" t="str">
        <f>"Номер "&amp;IF(TEMPLATE_GROUP="P","документа","подачи заявления")&amp;" об утверждении тарифов"</f>
        <v>Номер подачи заявления об утверждении тарифов</v>
      </c>
      <c s="219"/>
      <c s="76"/>
      <c r="I22" s="778"/>
      <c r="Q22" s="77">
        <v>0</v>
      </c>
    </row>
    <row r="23" spans="4:17" ht="22.5" customHeight="1" hidden="1">
      <c r="D23" s="78"/>
      <c s="394" t="s">
        <v>42</v>
      </c>
      <c s="219"/>
      <c s="76"/>
      <c r="Q23" s="77">
        <v>0</v>
      </c>
    </row>
    <row r="24" spans="4:17" ht="19.5" customHeight="1" hidden="1">
      <c r="D24" s="78"/>
      <c s="394" t="s">
        <v>43</v>
      </c>
      <c s="219"/>
      <c s="76"/>
      <c r="Q24" s="77">
        <v>0</v>
      </c>
    </row>
    <row r="25" spans="4:17" ht="22.5" customHeight="1" hidden="1">
      <c r="D25" s="78"/>
      <c s="79"/>
      <c s="273" t="str">
        <f>"Изменение "&amp;IF(TEMPLATE_GROUP="P","тарифов","предложения по тарифам")</f>
        <v>Изменение предложения по тарифам</v>
      </c>
      <c s="76"/>
      <c r="J25" s="878" t="s">
        <v>44</v>
      </c>
      <c r="Q25" s="77">
        <v>0</v>
      </c>
    </row>
    <row r="26" spans="4:17" ht="19.5" customHeight="1" hidden="1">
      <c r="D26" s="78"/>
      <c s="394" t="str">
        <f>"Дата "&amp;IF(TEMPLATE_GROUP="P","принятия решения","подачи заявления")&amp;" об изменении тарифов"</f>
        <v>Дата подачи заявления об изменении тарифов</v>
      </c>
      <c s="1736"/>
      <c s="76"/>
      <c r="Q26" s="77">
        <v>0</v>
      </c>
    </row>
    <row r="27" spans="4:17" ht="19.5" customHeight="1" hidden="1">
      <c r="D27" s="78"/>
      <c s="1168" t="str">
        <f>"Номер "&amp;IF(TEMPLATE_GROUP="P","принятия решения","заявления")&amp;" об изменении тарифов"</f>
        <v>Номер заявления об изменении тарифов</v>
      </c>
      <c s="221"/>
      <c s="76"/>
      <c r="Q27" s="77">
        <v>0</v>
      </c>
    </row>
    <row r="28" spans="4:17" ht="24.75" customHeight="1" hidden="1">
      <c r="D28" s="78"/>
      <c s="394" t="s">
        <v>45</v>
      </c>
      <c s="221"/>
      <c s="76"/>
      <c r="Q28" s="77">
        <v>0</v>
      </c>
    </row>
    <row r="29" spans="4:17" ht="19.5" customHeight="1" hidden="1">
      <c r="D29" s="78"/>
      <c s="394" t="s">
        <v>43</v>
      </c>
      <c s="221"/>
      <c s="76"/>
      <c r="Q29" s="77">
        <v>0</v>
      </c>
    </row>
    <row r="30" spans="1:17" s="1615" customFormat="1" ht="6.3" customHeight="1">
      <c r="A30" s="788"/>
      <c s="235"/>
      <c s="236"/>
      <c s="242"/>
      <c s="240"/>
      <c s="243"/>
      <c s="80"/>
      <c s="412"/>
      <c s="414"/>
      <c s="877"/>
      <c r="Q30" s="239">
        <v>6</v>
      </c>
    </row>
    <row r="31" spans="3:17" ht="21" customHeight="1">
      <c r="C31" s="81"/>
      <c s="82"/>
      <c s="394" t="str">
        <f>"Наименование "&amp;IF(TEMPLATE_GROUP="ROIV","органа тарифного регулирования","ЮЛ / ИП")</f>
        <v>Наименование ЮЛ / ИП</v>
      </c>
      <c s="220" t="s">
        <v>46</v>
      </c>
      <c s="779"/>
      <c r="Q31" s="77">
        <v>20</v>
      </c>
    </row>
    <row r="32" spans="3:17" ht="21" customHeight="1" hidden="1">
      <c r="C32" s="81"/>
      <c s="82"/>
      <c s="395" t="s">
        <v>47</v>
      </c>
      <c s="220"/>
      <c s="779"/>
      <c r="Q32" s="77">
        <v>20</v>
      </c>
    </row>
    <row r="33" spans="3:17" ht="21" customHeight="1">
      <c r="C33" s="81"/>
      <c s="82"/>
      <c s="394" t="s">
        <v>48</v>
      </c>
      <c s="220" t="s">
        <v>49</v>
      </c>
      <c s="779"/>
      <c r="Q33" s="77">
        <v>20</v>
      </c>
    </row>
    <row r="34" spans="3:17" ht="21" customHeight="1">
      <c r="C34" s="81"/>
      <c s="82"/>
      <c s="394" t="s">
        <v>50</v>
      </c>
      <c s="220" t="s">
        <v>51</v>
      </c>
      <c s="779"/>
      <c s="83"/>
      <c r="Q34" s="77">
        <v>20</v>
      </c>
    </row>
    <row r="35" spans="1:17" s="1615" customFormat="1" ht="11.55" customHeight="1">
      <c r="A35" s="788"/>
      <c s="235"/>
      <c s="236"/>
      <c s="242"/>
      <c s="240"/>
      <c s="243"/>
      <c s="80"/>
      <c s="412"/>
      <c s="414"/>
      <c s="877"/>
      <c r="Q35" s="239">
        <v>11</v>
      </c>
    </row>
    <row r="36" spans="1:17" ht="19.5" customHeight="1" hidden="1">
      <c r="A36" s="882"/>
      <c r="D36" s="82"/>
      <c s="394" t="s">
        <v>52</v>
      </c>
      <c s="351"/>
      <c s="80"/>
      <c r="Q36" s="77">
        <v>0</v>
      </c>
    </row>
    <row r="37" spans="1:17" ht="21" customHeight="1">
      <c r="A37" s="882"/>
      <c r="D37" s="82"/>
      <c s="394" t="s">
        <v>53</v>
      </c>
      <c s="1213" t="s">
        <v>54</v>
      </c>
      <c s="80"/>
      <c r="Q37" s="77">
        <v>20</v>
      </c>
    </row>
    <row r="38" spans="1:17" s="1615" customFormat="1" ht="6.3" customHeight="1">
      <c r="A38" s="788"/>
      <c s="235"/>
      <c s="236"/>
      <c s="237"/>
      <c s="238"/>
      <c s="1056"/>
      <c s="76"/>
      <c s="412"/>
      <c s="414"/>
      <c s="879"/>
      <c r="Q38" s="239">
        <v>6</v>
      </c>
    </row>
    <row r="39" spans="1:17" ht="36.75" customHeight="1">
      <c r="A39" s="788"/>
      <c r="D39" s="78"/>
      <c s="394" t="s">
        <v>55</v>
      </c>
      <c s="713" t="s">
        <v>19</v>
      </c>
      <c s="76"/>
      <c s="776" t="s">
        <v>23</v>
      </c>
      <c r="Q39" s="77">
        <v>35</v>
      </c>
    </row>
    <row r="40" spans="1:17" s="1615" customFormat="1" ht="6" customHeight="1" hidden="1">
      <c r="A40" s="787"/>
      <c s="429"/>
      <c s="430"/>
      <c s="431"/>
      <c s="432"/>
      <c s="1056"/>
      <c s="76"/>
      <c s="412"/>
      <c s="414"/>
      <c s="879"/>
      <c r="Q40" s="433">
        <v>6</v>
      </c>
    </row>
    <row r="41" spans="1:17" s="1638" customFormat="1" ht="26.25" customHeight="1" hidden="1">
      <c r="A41" s="791" t="s">
        <v>27</v>
      </c>
      <c s="416"/>
      <c s="411"/>
      <c s="413"/>
      <c s="394" t="str">
        <f>"Дифференциация информации по централизованным системам  "&amp;TEMPLATE_SPHERE_RUS</f>
        <v>Дифференциация информации по централизованным системам  водоотведения</v>
      </c>
      <c s="713" t="s">
        <v>19</v>
      </c>
      <c s="76"/>
      <c r="I41" s="414"/>
      <c s="879"/>
      <c r="Q41" s="412">
        <v>0</v>
      </c>
    </row>
    <row r="42" spans="1:17" s="1615" customFormat="1" ht="6" customHeight="1" hidden="1">
      <c r="A42" s="787"/>
      <c s="429"/>
      <c s="430"/>
      <c s="431"/>
      <c s="432"/>
      <c s="1056"/>
      <c s="76"/>
      <c s="412"/>
      <c s="414"/>
      <c s="877"/>
      <c r="Q42" s="433">
        <v>0</v>
      </c>
    </row>
    <row r="43" spans="1:17" s="1638" customFormat="1" ht="27" customHeight="1" hidden="1">
      <c r="A43" s="787"/>
      <c s="416"/>
      <c s="411"/>
      <c s="413"/>
      <c s="394" t="s">
        <v>56</v>
      </c>
      <c s="713" t="s">
        <v>19</v>
      </c>
      <c s="76"/>
      <c r="I43" s="414"/>
      <c s="879"/>
      <c r="Q43" s="412">
        <v>0</v>
      </c>
    </row>
    <row r="44" spans="1:17" s="1638" customFormat="1" ht="27" customHeight="1" hidden="1">
      <c r="A44" s="787"/>
      <c s="416"/>
      <c s="411"/>
      <c s="413"/>
      <c s="1168" t="s">
        <v>57</v>
      </c>
      <c s="1891"/>
      <c s="76"/>
      <c r="I44" s="414"/>
      <c s="879"/>
      <c r="Q44" s="412">
        <v>0</v>
      </c>
    </row>
    <row r="45" spans="1:17" s="1615" customFormat="1" ht="6" customHeight="1" hidden="1">
      <c r="A45" s="787"/>
      <c s="429"/>
      <c s="430"/>
      <c s="431"/>
      <c s="432"/>
      <c s="1056"/>
      <c s="76"/>
      <c s="412"/>
      <c s="414"/>
      <c s="879"/>
      <c r="Q45" s="433">
        <v>0</v>
      </c>
    </row>
    <row r="46" spans="1:17" s="1615" customFormat="1" ht="24.75" customHeight="1" hidden="1">
      <c r="A46" s="787"/>
      <c s="429"/>
      <c s="430"/>
      <c s="431"/>
      <c s="1168" t="s">
        <v>58</v>
      </c>
      <c s="713" t="s">
        <v>19</v>
      </c>
      <c s="76"/>
      <c s="412"/>
      <c s="414"/>
      <c s="879"/>
      <c r="Q46" s="433">
        <v>0</v>
      </c>
    </row>
    <row r="47" spans="1:17" s="1638" customFormat="1" ht="24.75" customHeight="1" hidden="1">
      <c r="A47" s="787"/>
      <c s="416"/>
      <c s="411"/>
      <c s="413"/>
      <c s="1168" t="s">
        <v>59</v>
      </c>
      <c s="713" t="s">
        <v>19</v>
      </c>
      <c s="76"/>
      <c r="I47" s="414"/>
      <c s="879"/>
      <c r="Q47" s="412">
        <v>0</v>
      </c>
    </row>
    <row r="48" spans="1:17" s="1615" customFormat="1" ht="6" customHeight="1" hidden="1">
      <c r="A48" s="787"/>
      <c s="235"/>
      <c s="236"/>
      <c s="237"/>
      <c s="238"/>
      <c s="1056"/>
      <c s="76"/>
      <c s="412"/>
      <c s="414"/>
      <c s="879"/>
      <c r="Q48" s="239">
        <v>0</v>
      </c>
    </row>
    <row r="49" spans="2:17" ht="29.25" customHeight="1" hidden="1">
      <c r="B49" s="151"/>
      <c r="D49" s="78"/>
      <c s="394" t="str">
        <f>"Организация осуществляет подключение (технологическое присоединение) к системе "&amp;TEMPLATE_SPHERE_RUS</f>
        <v>Организация осуществляет подключение (технологическое присоединение) к системе водоотведения</v>
      </c>
      <c s="713"/>
      <c s="76"/>
      <c r="Q49" s="77">
        <v>0</v>
      </c>
    </row>
    <row r="50" spans="1:17" s="1615" customFormat="1" ht="6" customHeight="1" hidden="1">
      <c r="A50" s="788"/>
      <c s="429"/>
      <c s="430"/>
      <c s="242"/>
      <c s="240"/>
      <c s="243"/>
      <c s="80"/>
      <c s="412"/>
      <c s="414"/>
      <c s="879"/>
      <c r="Q50" s="433">
        <v>0</v>
      </c>
    </row>
    <row r="51" spans="1:17" s="1638" customFormat="1" ht="28.5" customHeight="1" hidden="1">
      <c r="A51" s="789"/>
      <c s="416"/>
      <c s="533"/>
      <c s="534"/>
      <c s="394" t="s">
        <v>60</v>
      </c>
      <c s="713" t="s">
        <v>19</v>
      </c>
      <c s="535"/>
      <c r="I51" s="537"/>
      <c s="881"/>
      <c r="P51" s="538"/>
      <c s="536">
        <v>0</v>
      </c>
    </row>
    <row r="52" spans="1:17" s="1615" customFormat="1" ht="6" customHeight="1" hidden="1">
      <c r="A52" s="788"/>
      <c s="429"/>
      <c s="430"/>
      <c s="242"/>
      <c s="240"/>
      <c s="243"/>
      <c s="80"/>
      <c s="412"/>
      <c s="414"/>
      <c s="877"/>
      <c r="Q52" s="433">
        <v>0</v>
      </c>
    </row>
    <row r="53" spans="1:17" s="1638" customFormat="1" ht="27" customHeight="1" hidden="1">
      <c r="A53" s="789"/>
      <c s="416"/>
      <c s="533"/>
      <c s="534"/>
      <c s="394" t="s">
        <v>61</v>
      </c>
      <c s="1051" t="s">
        <v>19</v>
      </c>
      <c s="535"/>
      <c r="I53" s="537"/>
      <c s="881"/>
      <c r="P53" s="538"/>
      <c s="536">
        <v>0</v>
      </c>
    </row>
    <row r="54" spans="1:17" s="1638" customFormat="1" ht="27" customHeight="1" hidden="1">
      <c r="A54" s="789"/>
      <c s="416"/>
      <c s="533"/>
      <c s="534"/>
      <c s="394" t="s">
        <v>62</v>
      </c>
      <c s="1777"/>
      <c s="535"/>
      <c r="I54" s="537"/>
      <c s="881"/>
      <c r="P54" s="538"/>
      <c s="536">
        <v>0</v>
      </c>
    </row>
    <row r="55" spans="1:17" s="1615" customFormat="1" ht="6" customHeight="1" hidden="1">
      <c r="A55" s="788"/>
      <c s="429"/>
      <c s="430"/>
      <c s="242"/>
      <c s="240"/>
      <c s="243"/>
      <c s="80"/>
      <c s="412"/>
      <c s="414"/>
      <c s="877"/>
      <c r="Q55" s="433">
        <v>0</v>
      </c>
    </row>
    <row r="56" spans="1:17" s="1638" customFormat="1" ht="25.5" customHeight="1" hidden="1">
      <c r="A56" s="789"/>
      <c s="416"/>
      <c s="533"/>
      <c s="534"/>
      <c s="394" t="s">
        <v>63</v>
      </c>
      <c s="1051" t="s">
        <v>19</v>
      </c>
      <c s="535"/>
      <c r="I56" s="537"/>
      <c s="881"/>
      <c r="P56" s="538"/>
      <c s="536">
        <v>0</v>
      </c>
    </row>
    <row r="57" spans="1:17" s="1615" customFormat="1" ht="6" customHeight="1" hidden="1">
      <c r="A57" s="788"/>
      <c s="429"/>
      <c s="430"/>
      <c s="242"/>
      <c s="240"/>
      <c s="243"/>
      <c s="80"/>
      <c s="412"/>
      <c s="414"/>
      <c s="877"/>
      <c r="Q57" s="433">
        <v>0</v>
      </c>
    </row>
    <row r="58" spans="1:17" s="1638" customFormat="1" ht="15" customHeight="1" hidden="1">
      <c r="A58" s="789"/>
      <c s="416"/>
      <c s="533"/>
      <c s="534"/>
      <c s="394" t="s">
        <v>64</v>
      </c>
      <c s="1051" t="s">
        <v>65</v>
      </c>
      <c s="535"/>
      <c r="I58" s="537"/>
      <c s="881"/>
      <c r="P58" s="538"/>
      <c s="536">
        <v>0</v>
      </c>
    </row>
    <row r="59" spans="1:17" s="1638" customFormat="1" ht="75" customHeight="1" hidden="1">
      <c r="A59" s="789"/>
      <c s="416"/>
      <c s="533"/>
      <c s="534"/>
      <c s="394" t="str">
        <f>"Инвестиционная программа относится к деятельности, при осуществлении которой расчеты за товары (услуги) в сфере  "&amp;TEMPLATE_SPHERE_RUS&amp;" осуществляются по регулируемым ценам (тарифам) (за исключением деятельности по подключению (технологическому присоединению) к системе  "&amp;TEMPLATE_SPHERE_RUS&amp;")"</f>
        <v>Инвестиционная программа относится к деятельности, при осуществлении которой расчеты за товары (услуги) в сфере  водоотведения осуществляются по регулируемым ценам (тарифам) (за исключением деятельности по подключению (технологическому присоединению) к системе  водоотведения)</v>
      </c>
      <c s="1192"/>
      <c s="535"/>
      <c r="I59" s="537"/>
      <c s="881"/>
      <c r="P59" s="538"/>
      <c s="536">
        <v>0</v>
      </c>
    </row>
    <row r="60" spans="1:17" s="1638" customFormat="1" ht="15" customHeight="1" hidden="1">
      <c r="A60" s="789"/>
      <c s="416"/>
      <c s="533"/>
      <c s="534"/>
      <c s="1168" t="s">
        <v>66</v>
      </c>
      <c s="1154"/>
      <c s="535"/>
      <c r="I60" s="537"/>
      <c s="881"/>
      <c r="P60" s="538"/>
      <c s="536">
        <v>0</v>
      </c>
    </row>
    <row r="61" spans="1:17" s="1615" customFormat="1" ht="6" customHeight="1" hidden="1">
      <c r="A61" s="788"/>
      <c s="429"/>
      <c s="430"/>
      <c s="431"/>
      <c s="432"/>
      <c s="1056"/>
      <c s="76"/>
      <c s="412"/>
      <c s="414"/>
      <c s="879"/>
      <c r="Q61" s="433">
        <v>0</v>
      </c>
    </row>
    <row r="62" spans="1:17" s="1638" customFormat="1" ht="33.75" customHeight="1" hidden="1">
      <c r="A62" s="788"/>
      <c s="101"/>
      <c s="411"/>
      <c s="413"/>
      <c s="1168" t="s">
        <v>67</v>
      </c>
      <c s="1674" t="s">
        <v>65</v>
      </c>
      <c s="76"/>
      <c s="776" t="s">
        <v>23</v>
      </c>
      <c s="414"/>
      <c s="879"/>
      <c r="Q62" s="412">
        <v>0</v>
      </c>
    </row>
    <row r="63" spans="1:17" s="1615" customFormat="1" ht="6.3" customHeight="1">
      <c r="A63" s="788"/>
      <c s="235"/>
      <c s="236"/>
      <c s="242"/>
      <c s="240"/>
      <c s="243"/>
      <c s="80"/>
      <c s="412"/>
      <c s="414"/>
      <c s="877"/>
      <c r="Q63" s="239">
        <v>6</v>
      </c>
    </row>
    <row r="64" spans="1:17" ht="21" customHeight="1">
      <c r="A64" s="790"/>
      <c s="102"/>
      <c r="D64" s="85"/>
      <c s="394" t="s">
        <v>68</v>
      </c>
      <c s="219" t="s">
        <v>69</v>
      </c>
      <c s="80"/>
      <c r="Q64" s="77">
        <v>20</v>
      </c>
    </row>
    <row r="65" spans="1:17" ht="21" customHeight="1">
      <c r="A65" s="790"/>
      <c s="102"/>
      <c r="D65" s="85"/>
      <c s="394" t="s">
        <v>70</v>
      </c>
      <c s="219" t="s">
        <v>71</v>
      </c>
      <c s="80"/>
      <c r="Q65" s="77">
        <v>20</v>
      </c>
    </row>
    <row r="66" spans="4:17" ht="36.75" customHeight="1">
      <c r="D66" s="78"/>
      <c s="396" t="s">
        <v>72</v>
      </c>
      <c s="1057"/>
      <c s="76"/>
      <c r="Q66" s="77">
        <v>35</v>
      </c>
    </row>
    <row r="67" spans="1:17" ht="21" customHeight="1">
      <c r="A67" s="790"/>
      <c r="D67" s="413"/>
      <c s="394" t="s">
        <v>73</v>
      </c>
      <c s="274" t="s">
        <v>74</v>
      </c>
      <c s="80"/>
      <c r="Q67" s="77">
        <v>20</v>
      </c>
    </row>
    <row r="68" spans="1:17" ht="21" customHeight="1">
      <c r="A68" s="790"/>
      <c s="102"/>
      <c r="D68" s="85"/>
      <c s="394" t="s">
        <v>75</v>
      </c>
      <c s="274" t="s">
        <v>76</v>
      </c>
      <c s="80"/>
      <c r="Q68" s="77">
        <v>20</v>
      </c>
    </row>
    <row r="69" spans="1:17" ht="21" customHeight="1">
      <c r="A69" s="790"/>
      <c s="102"/>
      <c r="D69" s="85"/>
      <c s="394" t="s">
        <v>77</v>
      </c>
      <c s="274" t="s">
        <v>78</v>
      </c>
      <c s="80"/>
      <c r="Q69" s="77">
        <v>20</v>
      </c>
    </row>
    <row r="70" spans="4:17" ht="21" customHeight="1">
      <c r="D70" s="413"/>
      <c s="394" t="s">
        <v>79</v>
      </c>
      <c s="2632" t="s">
        <v>80</v>
      </c>
      <c s="76"/>
      <c r="Q70" s="77">
        <v>20</v>
      </c>
    </row>
    <row r="71" spans="1:17" ht="21" customHeight="1">
      <c r="A71" s="790"/>
      <c r="D71" s="76"/>
      <c r="F71" s="136"/>
      <c s="80"/>
      <c r="Q71" s="77">
        <v>20</v>
      </c>
    </row>
    <row r="72" spans="1:17" ht="21" customHeight="1">
      <c r="A72" s="790"/>
      <c s="102"/>
      <c r="D72" s="85"/>
      <c s="84"/>
      <c s="1036" t="s">
        <v>13</v>
      </c>
      <c s="80"/>
      <c r="Q72" s="77">
        <v>20</v>
      </c>
    </row>
    <row r="73" spans="1:17" ht="21" customHeight="1">
      <c r="A73" s="790"/>
      <c s="102"/>
      <c r="D73" s="85"/>
      <c s="84"/>
      <c s="137"/>
      <c s="80"/>
      <c r="Q73" s="77">
        <v>20</v>
      </c>
    </row>
    <row r="74" spans="1:17" ht="21" customHeight="1">
      <c r="A74" s="790"/>
      <c s="102"/>
      <c r="D74" s="85"/>
      <c s="89"/>
      <c s="137"/>
      <c s="80"/>
      <c r="Q74" s="77">
        <v>20</v>
      </c>
    </row>
    <row r="75" spans="1:17" ht="21" customHeight="1">
      <c r="A75" s="790"/>
      <c s="102"/>
      <c r="D75" s="85"/>
      <c s="84"/>
      <c s="137"/>
      <c s="80"/>
      <c r="Q75" s="77">
        <v>20</v>
      </c>
    </row>
    <row r="76" spans="17:17" ht="11.55" customHeight="1">
      <c r="Q76" s="77">
        <v>11</v>
      </c>
    </row>
    <row r="77" spans="17:17" ht="11.55" customHeight="1">
      <c r="Q77" s="77">
        <v>11</v>
      </c>
    </row>
    <row r="78" spans="5:17" ht="11.55" customHeight="1">
      <c r="E78" s="393"/>
      <c s="393"/>
      <c s="393"/>
      <c s="393"/>
      <c s="393"/>
      <c r="Q78" s="77">
        <v>11</v>
      </c>
    </row>
    <row r="79" spans="1:17" ht="11.25" customHeight="1" hidden="1">
      <c r="A79" s="787" t="s">
        <v>81</v>
      </c>
      <c s="101">
        <v>0</v>
      </c>
      <c s="75">
        <v>3</v>
      </c>
      <c s="77">
        <v>1</v>
      </c>
      <c s="77">
        <v>55</v>
      </c>
      <c s="77">
        <v>54</v>
      </c>
      <c s="774">
        <v>1</v>
      </c>
      <c s="412">
        <v>0</v>
      </c>
      <c s="414">
        <v>59</v>
      </c>
      <c s="879">
        <v>0</v>
      </c>
      <c s="77">
        <v>8</v>
      </c>
      <c s="77">
        <v>77</v>
      </c>
      <c s="77">
        <v>8</v>
      </c>
      <c s="77">
        <v>8</v>
      </c>
      <c s="77">
        <v>8</v>
      </c>
      <c s="77">
        <v>8</v>
      </c>
      <c s="77">
        <v>11</v>
      </c>
    </row>
  </sheetData>
  <sheetProtection formatColumns="0" formatRows="0" insertRows="0" deleteColumns="0" deleteRows="0" sort="0" autoFilter="0"/>
  <mergeCells count="3">
    <mergeCell ref="E5:F5"/>
    <mergeCell ref="J18:J19"/>
    <mergeCell ref="A11:A12"/>
  </mergeCells>
  <dataValidations count="13">
    <dataValidation type="list" allowBlank="1" showInputMessage="1" showErrorMessage="1" prompt="Выберите значение из списка:_x000a_ОСН - Общая система налогообложения_x000a_УСН - Упрощённая система налогообложения_x000a_ЕСХН - Единый сельскохозяйственный налог_x000a_ПСН - Патентная система налогообложения_x000a_НПД - Налог на профессиональный доход" errorTitle="Ошибка" error="Выберите значение из списка" sqref="F37">
      <formula1>kind_of_NDS</formula1>
    </dataValidation>
    <dataValidation allowBlank="1" showInputMessage="1" showErrorMessage="1" prompt="Выбор организации двойным щелчком левой клавиши мыши" sqref="F31"/>
    <dataValidation type="list" allowBlank="1" showInputMessage="1" showErrorMessage="1" prompt="Выберите значение из списка" errorTitle="Ошибка" error="Выберите значение из списка" sqref="F9">
      <formula1>ROIV_INFO_LIST</formula1>
    </dataValidation>
    <dataValidation type="list" allowBlank="1" showInputMessage="1" showErrorMessage="1" prompt="Выберите значение из списка" errorTitle="Ошибка" error="Выберите значение из списка" sqref="F60">
      <formula1>TITLE_IP_DETAILED_METHOD_LIST</formula1>
    </dataValidation>
    <dataValidation allowBlank="1" showInputMessage="1" showErrorMessage="1" prompt="Выберите значение из календаря (иконка справа от выбранной ячейки), либо введите дату непосредственно в ячейку в формате - 'ДД.ММ.ГГГГ'" sqref="F54"/>
    <dataValidation type="list" allowBlank="1" showInputMessage="1" showErrorMessage="1" prompt="Выберите значение из списка" errorTitle="Ошибка" error="Выберите значение из списка" sqref="F15">
      <formula1>QUARTER</formula1>
    </dataValidation>
    <dataValidation type="list" allowBlank="1" showInputMessage="1" showErrorMessage="1" prompt="Выберите значение из списка" errorTitle="Ошибка" error="Выберите значение из списка" sqref="F14">
      <formula1>year_list</formula1>
    </dataValidation>
    <dataValidation type="list" allowBlank="1" showInputMessage="1" showErrorMessage="1" prompt="Выберите значение из списка" errorTitle="Ошибка" error="Выберите значение из списка" sqref="F36">
      <formula1>kind_of_org_type</formula1>
    </dataValidation>
    <dataValidation allowBlank="1" showInputMessage="1" showErrorMessage="1" prompt="Для выбора выполните двойной щелчок левой клавиши мыши по соответствующей ячейке." sqref="F10 F49 F53 F56 F58 F51 F39:F41 F43 F45:F47 F62"/>
    <dataValidation type="list" allowBlank="1" showInputMessage="1" showErrorMessage="1" prompt="Выберите значение из списка" errorTitle="Ошибка" error="Выберите значение из списка" sqref="F17">
      <formula1>kind_of_data_type</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11:F13 F26 F21 F18:F19"/>
    <dataValidation type="list" allowBlank="1" showInputMessage="1" showErrorMessage="1" prompt="Выберите значение из списка" errorTitle="Ошибка" error="Выберите значение из списка" sqref="F38 F61">
      <formula1>kind_of_NDS</formula1>
    </dataValidation>
    <dataValidation type="textLength" operator="lessThanOrEqual" allowBlank="1" showInputMessage="1" showErrorMessage="1" errorTitle="Ошибка" error="Допускается ввод не более 900 символов!" sqref="F22:F24 F72:F75 F64:F65 F67:F70 F27:F29 F32">
      <formula1>900</formula1>
    </dataValidation>
  </dataValidations>
  <hyperlinks>
    <hyperlink ref="H11" location="Титульный!H9" tooltip="Помощь по работе с полями отчётной формы" display="Как заполнить?"/>
    <hyperlink ref="H17" location="Титульный!H9" tooltip="Помощь по работе с полями отчётной формы" display="Как заполнить?"/>
    <hyperlink ref="H39" location="Титульный!H9" tooltip="Помощь по работе с полями отчётной формы" display="Как заполнить?"/>
    <hyperlink ref="H62" location="Титульный!H9" tooltip="Помощь по работе с полями отчётной формы" display="Как заполнить?"/>
    <hyperlink ref="F70" r:id="rId1" display="kubanaqua@mail.ru"/>
  </hyperlinks>
  <pageMargins left="0.75" right="0.75" top="1" bottom="1" header="0.5" footer="0.5"/>
  <pageSetup orientation="portrait" paperSize="8"/>
  <drawing r:id="rId3"/>
  <legacyDrawing r:id="rId4"/>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m="http://schemas.microsoft.com/office/excel/2006/main" xmlns:x14ac="http://schemas.microsoft.com/office/spreadsheetml/2009/9/ac" xmlns:xr="http://schemas.microsoft.com/office/spreadsheetml/2014/revision" xmlns:xr2="http://schemas.microsoft.com/office/spreadsheetml/2015/revision2" xmlns:xr3="http://schemas.microsoft.com/office/spreadsheetml/2016/revision3" xr:uid="{8907C8CF-AE6C-6939-B18D-201880E1EFC4}" mc:Ignorable="x14ac xr xr2 xr3">
  <sheetPr>
    <tabColor rgb="FFCCCCFF"/>
    <pageSetUpPr fitToPage="1"/>
  </sheetPr>
  <dimension ref="A1:AC29"/>
  <sheetViews>
    <sheetView showGridLines="0" zoomScale="90" zoomScaleNormal="90" workbookViewId="0" topLeftCell="A1">
      <pane xSplit="6" ySplit="11" topLeftCell="G12" activePane="bottomRight" state="frozen"/>
      <selection pane="topLeft" activeCell="A1" sqref="A1"/>
      <selection pane="bottomLeft" activeCell="A12" sqref="A12"/>
      <selection pane="topRight" activeCell="G1" sqref="G1"/>
      <selection pane="bottomRight" activeCell="G13" sqref="G13"/>
    </sheetView>
  </sheetViews>
  <sheetFormatPr defaultColWidth="9.14428571428571" defaultRowHeight="14.25" customHeight="1"/>
  <cols>
    <col min="1" max="1" width="8" style="1638" hidden="1" customWidth="1"/>
    <col min="2" max="2" width="6" style="1369" hidden="1" customWidth="1"/>
    <col min="3" max="3" width="3" style="1638" customWidth="1"/>
    <col min="4" max="4" width="3" style="1845" customWidth="1"/>
    <col min="5" max="5" width="6" style="1638" customWidth="1"/>
    <col min="6" max="6" width="2.71428571428571" style="1638" hidden="1" customWidth="1"/>
    <col min="7" max="7" width="46.7142857142857" style="1638" customWidth="1"/>
    <col min="8" max="8" width="42" style="1638" customWidth="1"/>
    <col min="9" max="9" width="14" style="1638" customWidth="1"/>
    <col min="10" max="10" width="3" style="1627" customWidth="1"/>
    <col min="11" max="13" width="9.14285714285714" style="1627" hidden="1"/>
    <col min="14" max="14" width="25.7142857142857" style="1627" hidden="1" customWidth="1"/>
    <col min="15" max="15" width="14.4285714285714" style="1627" hidden="1" customWidth="1"/>
    <col min="16" max="19" width="9.14285714285714" style="228" hidden="1"/>
    <col min="20" max="27" width="9.14285714285714" style="1638" hidden="1"/>
    <col min="28" max="28" width="8" style="1638" customWidth="1"/>
    <col min="29" max="29" width="9.14285714285714" style="1638" hidden="1"/>
  </cols>
  <sheetData>
    <row r="1" spans="1:29" s="1645" customFormat="1" ht="5.25" customHeight="1" hidden="1">
      <c r="A1" s="499"/>
      <c s="514"/>
      <c s="514"/>
      <c s="224"/>
      <c r="F1" s="514"/>
      <c s="250" t="s">
        <v>82</v>
      </c>
      <c s="497" t="s">
        <v>83</v>
      </c>
      <c s="230" t="s">
        <v>84</v>
      </c>
      <c s="250" t="s">
        <v>82</v>
      </c>
      <c s="250"/>
      <c s="250"/>
      <c s="250"/>
      <c s="251"/>
      <c s="250"/>
      <c s="250"/>
      <c s="250"/>
      <c s="250"/>
      <c s="250"/>
      <c s="230"/>
      <c s="230"/>
      <c s="230"/>
      <c s="230"/>
      <c s="230"/>
      <c s="230"/>
      <c s="230"/>
      <c s="230"/>
      <c s="230"/>
      <c s="155" t="s">
        <v>14</v>
      </c>
    </row>
    <row r="2" spans="1:29" s="1415" customFormat="1" ht="11.25" customHeight="1">
      <c r="A2" s="834"/>
      <c s="231"/>
      <c s="231"/>
      <c s="232"/>
      <c s="231"/>
      <c s="231"/>
      <c s="231"/>
      <c s="231"/>
      <c s="231"/>
      <c s="250"/>
      <c s="250"/>
      <c s="250"/>
      <c s="250"/>
      <c s="251"/>
      <c s="250"/>
      <c s="233"/>
      <c s="233"/>
      <c s="233"/>
      <c s="233"/>
      <c s="232"/>
      <c s="232"/>
      <c s="232"/>
      <c s="232"/>
      <c s="232"/>
      <c s="232"/>
      <c s="232"/>
      <c s="232"/>
      <c s="232"/>
      <c s="234">
        <v>11</v>
      </c>
    </row>
    <row r="3" spans="1:29" s="1822" customFormat="1" ht="3" customHeight="1">
      <c r="A3" s="761"/>
      <c s="420"/>
      <c s="761"/>
      <c s="167"/>
      <c s="106"/>
      <c s="512"/>
      <c s="106"/>
      <c s="106"/>
      <c s="169"/>
      <c s="250"/>
      <c s="158"/>
      <c s="158"/>
      <c s="158"/>
      <c s="229"/>
      <c s="158"/>
      <c s="228"/>
      <c s="228"/>
      <c s="228"/>
      <c s="228"/>
      <c r="AC3" s="119">
        <v>3</v>
      </c>
    </row>
    <row r="4" spans="1:29" s="1822" customFormat="1" ht="27.3" customHeight="1">
      <c r="A4" s="761"/>
      <c s="420"/>
      <c s="761"/>
      <c s="167"/>
      <c s="2103" t="str">
        <f>NameTemplatesInListMO</f>
        <v>Перечень муниципальных районов и муниципальных образований (территорий действия тарифа)</v>
      </c>
      <c s="2103"/>
      <c s="2103"/>
      <c s="2103"/>
      <c s="2103"/>
      <c s="250"/>
      <c s="158"/>
      <c s="158"/>
      <c s="158"/>
      <c s="229"/>
      <c s="158"/>
      <c s="228"/>
      <c s="228"/>
      <c s="228"/>
      <c s="228"/>
      <c r="AC4" s="119">
        <v>26</v>
      </c>
    </row>
    <row r="5" spans="1:29" s="1822" customFormat="1" ht="3" customHeight="1">
      <c r="A5" s="761"/>
      <c s="420"/>
      <c s="761"/>
      <c s="167"/>
      <c s="106"/>
      <c s="512"/>
      <c s="170"/>
      <c s="170"/>
      <c s="171"/>
      <c s="158"/>
      <c s="158"/>
      <c s="158"/>
      <c s="158"/>
      <c s="229"/>
      <c s="158"/>
      <c s="228"/>
      <c s="228"/>
      <c s="228"/>
      <c s="228"/>
      <c r="AC5" s="119">
        <v>3</v>
      </c>
    </row>
    <row r="6" spans="1:29" s="1822" customFormat="1" ht="20.25" customHeight="1" hidden="1">
      <c r="A6" s="840"/>
      <c s="836"/>
      <c s="172"/>
      <c s="167"/>
      <c s="782"/>
      <c s="782"/>
      <c s="170"/>
      <c s="173"/>
      <c s="173"/>
      <c s="158"/>
      <c s="158"/>
      <c s="158"/>
      <c s="158"/>
      <c s="229"/>
      <c s="158"/>
      <c s="228"/>
      <c s="228"/>
      <c s="228"/>
      <c s="228"/>
      <c r="AC6" s="119">
        <v>0</v>
      </c>
    </row>
    <row r="7" spans="29:29" ht="25.5" customHeight="1" hidden="1">
      <c r="AC7" s="86">
        <v>0</v>
      </c>
    </row>
    <row r="8" spans="1:29" s="1822" customFormat="1" ht="14.7" customHeight="1">
      <c r="A8" s="761"/>
      <c s="420"/>
      <c s="761"/>
      <c s="167"/>
      <c s="2104" t="s">
        <v>85</v>
      </c>
      <c s="2105"/>
      <c s="2106"/>
      <c s="2107" t="s">
        <v>86</v>
      </c>
      <c s="2107"/>
      <c s="158"/>
      <c s="158"/>
      <c s="158"/>
      <c s="158"/>
      <c s="229"/>
      <c s="158"/>
      <c s="228"/>
      <c s="228"/>
      <c s="228"/>
      <c s="228"/>
      <c r="AC8" s="119">
        <v>14</v>
      </c>
    </row>
    <row r="9" spans="1:29" s="1822" customFormat="1" ht="21" customHeight="1">
      <c r="A9" s="761"/>
      <c s="420"/>
      <c s="761"/>
      <c s="167"/>
      <c s="780" t="s">
        <v>87</v>
      </c>
      <c s="780"/>
      <c s="175" t="s">
        <v>88</v>
      </c>
      <c s="175" t="s">
        <v>88</v>
      </c>
      <c s="175" t="s">
        <v>84</v>
      </c>
      <c s="158"/>
      <c s="158"/>
      <c s="158"/>
      <c s="158"/>
      <c s="229"/>
      <c s="158"/>
      <c s="228"/>
      <c s="228"/>
      <c s="228"/>
      <c s="228"/>
      <c r="AC9" s="119">
        <v>20</v>
      </c>
    </row>
    <row r="10" spans="4:29" ht="11.55" customHeight="1">
      <c r="D10" s="179"/>
      <c s="781" t="s">
        <v>89</v>
      </c>
      <c s="781"/>
      <c s="226" t="s">
        <v>90</v>
      </c>
      <c s="226" t="s">
        <v>91</v>
      </c>
      <c s="226" t="s">
        <v>92</v>
      </c>
      <c s="189"/>
      <c s="189"/>
      <c s="189"/>
      <c s="189"/>
      <c s="174"/>
      <c s="189"/>
      <c s="227"/>
      <c s="227"/>
      <c s="227"/>
      <c s="227"/>
      <c r="AC10" s="86">
        <v>11</v>
      </c>
    </row>
    <row r="11" spans="1:29" s="1822" customFormat="1" ht="1.05" customHeight="1">
      <c r="A11" s="761"/>
      <c s="420"/>
      <c s="761"/>
      <c s="167"/>
      <c s="793"/>
      <c s="793"/>
      <c s="176"/>
      <c s="176"/>
      <c s="178"/>
      <c s="252" t="s">
        <v>93</v>
      </c>
      <c s="158"/>
      <c s="158"/>
      <c s="158" t="s">
        <v>94</v>
      </c>
      <c s="229" t="s">
        <v>95</v>
      </c>
      <c s="158" t="s">
        <v>96</v>
      </c>
      <c s="228"/>
      <c s="228"/>
      <c s="228"/>
      <c s="228"/>
      <c r="AC11" s="119">
        <v>1</v>
      </c>
    </row>
    <row r="12" spans="1:29" s="1822" customFormat="1" ht="15" customHeight="1">
      <c r="A12" s="2102">
        <v>1</v>
      </c>
      <c s="420"/>
      <c s="761"/>
      <c s="785"/>
      <c s="222">
        <f>A12</f>
        <v>1</v>
      </c>
      <c s="805" t="s">
        <v>97</v>
      </c>
      <c s="543" t="str">
        <f>"Территория "&amp;E12</f>
        <v>Территория 1</v>
      </c>
      <c s="795"/>
      <c s="795"/>
      <c s="792"/>
      <c s="503"/>
      <c s="503"/>
      <c s="503"/>
      <c s="229"/>
      <c s="503"/>
      <c s="228"/>
      <c s="228"/>
      <c s="228"/>
      <c s="228"/>
      <c r="AC12" s="510">
        <v>14</v>
      </c>
    </row>
    <row r="13" spans="1:29" s="1853" customFormat="1" ht="15.75" customHeight="1">
      <c r="A13" s="2102"/>
      <c s="420">
        <v>1</v>
      </c>
      <c s="420"/>
      <c s="803"/>
      <c s="783" t="str">
        <f>A12&amp;"."&amp;B13</f>
        <v>1.1</v>
      </c>
      <c s="798" t="s">
        <v>98</v>
      </c>
      <c s="796" t="s">
        <v>99</v>
      </c>
      <c s="796" t="s">
        <v>100</v>
      </c>
      <c s="794" t="s">
        <v>101</v>
      </c>
      <c s="503">
        <f>MERGEVALUE(G13)</f>
      </c>
      <c s="514"/>
      <c s="514"/>
      <c s="503" t="str">
        <f t="array" ref="M13">IF(ISERROR(MATCH(MID(N13,1,250),MID(note_ter,1,250),0)),"n","y")</f>
        <v>n</v>
      </c>
      <c s="514"/>
      <c s="503" t="str">
        <f>H13&amp;"("&amp;I13&amp;")"</f>
        <v>Ейское городское(03616101)</v>
      </c>
      <c s="420"/>
      <c s="420"/>
      <c s="423"/>
      <c s="420"/>
      <c s="420"/>
      <c s="420"/>
      <c s="425"/>
      <c s="425"/>
      <c s="422"/>
      <c s="422"/>
      <c s="422"/>
      <c s="422"/>
      <c s="422"/>
      <c s="426">
        <v>15</v>
      </c>
    </row>
    <row r="14" spans="1:29" s="1853" customFormat="1" ht="15.75" customHeight="1">
      <c r="A14" s="2102"/>
      <c s="420"/>
      <c s="415"/>
      <c s="804"/>
      <c s="424"/>
      <c s="180"/>
      <c s="418" t="s">
        <v>102</v>
      </c>
      <c s="190"/>
      <c s="427"/>
      <c s="514"/>
      <c s="514"/>
      <c s="514"/>
      <c s="514"/>
      <c s="503"/>
      <c s="514"/>
      <c s="420"/>
      <c s="420"/>
      <c s="423"/>
      <c s="420"/>
      <c s="420"/>
      <c s="420"/>
      <c s="425"/>
      <c s="425"/>
      <c s="422"/>
      <c s="422"/>
      <c s="422"/>
      <c s="422"/>
      <c s="422"/>
      <c s="426">
        <v>15</v>
      </c>
    </row>
    <row r="15" spans="1:29" s="1822" customFormat="1" ht="14.7" customHeight="1">
      <c r="A15" s="761"/>
      <c s="420"/>
      <c s="761"/>
      <c s="785"/>
      <c s="797"/>
      <c s="181"/>
      <c s="419" t="s">
        <v>103</v>
      </c>
      <c s="181"/>
      <c s="182"/>
      <c s="252"/>
      <c s="158"/>
      <c s="158"/>
      <c s="158"/>
      <c s="229" t="s">
        <v>104</v>
      </c>
      <c s="158"/>
      <c s="228"/>
      <c s="228"/>
      <c s="228"/>
      <c s="228"/>
      <c r="AC15" s="119">
        <v>14</v>
      </c>
    </row>
    <row r="16" spans="1:29" s="1822" customFormat="1" ht="22.05" customHeight="1">
      <c r="A16" s="761"/>
      <c s="420"/>
      <c s="761"/>
      <c s="168"/>
      <c s="183"/>
      <c s="183"/>
      <c s="183"/>
      <c s="183"/>
      <c s="183"/>
      <c s="158"/>
      <c s="158"/>
      <c s="158"/>
      <c s="158"/>
      <c s="229"/>
      <c s="158"/>
      <c s="228"/>
      <c s="228"/>
      <c s="228"/>
      <c s="228"/>
      <c r="AC16" s="119">
        <v>21</v>
      </c>
    </row>
    <row r="17" spans="1:29" s="1822" customFormat="1" ht="14.7" customHeight="1">
      <c r="A17" s="761"/>
      <c s="420"/>
      <c s="761"/>
      <c s="168"/>
      <c s="86"/>
      <c s="761"/>
      <c s="86"/>
      <c s="86"/>
      <c s="86"/>
      <c s="158"/>
      <c s="158"/>
      <c s="158"/>
      <c s="158"/>
      <c s="229"/>
      <c s="158"/>
      <c s="228"/>
      <c s="228"/>
      <c s="228"/>
      <c s="228"/>
      <c r="AC17" s="119">
        <v>14</v>
      </c>
    </row>
    <row r="18" spans="1:29" s="1822" customFormat="1" ht="1.05" customHeight="1">
      <c r="A18" s="761"/>
      <c s="420"/>
      <c s="761"/>
      <c s="168"/>
      <c s="86"/>
      <c s="761"/>
      <c s="86"/>
      <c s="86"/>
      <c s="86"/>
      <c s="158"/>
      <c s="158"/>
      <c s="158"/>
      <c s="158"/>
      <c s="229"/>
      <c s="158"/>
      <c s="228"/>
      <c s="228"/>
      <c s="228"/>
      <c s="228"/>
      <c r="AC18" s="119">
        <v>1</v>
      </c>
    </row>
    <row r="19" spans="2:29" s="1067" customFormat="1" ht="10.5" customHeight="1">
      <c r="B19" s="837"/>
      <c r="D19" s="185"/>
      <c r="J19" s="158"/>
      <c s="158"/>
      <c s="158"/>
      <c s="158"/>
      <c s="229"/>
      <c s="158"/>
      <c s="228"/>
      <c s="228"/>
      <c s="228"/>
      <c s="228"/>
      <c r="AC19" s="184">
        <v>10</v>
      </c>
    </row>
    <row r="20" spans="2:29" s="1067" customFormat="1" ht="10.5" customHeight="1">
      <c r="B20" s="837"/>
      <c r="D20" s="185"/>
      <c r="J20" s="158"/>
      <c s="158"/>
      <c s="158"/>
      <c s="158"/>
      <c s="229"/>
      <c s="158"/>
      <c s="228"/>
      <c s="228"/>
      <c s="228"/>
      <c s="228"/>
      <c r="AC20" s="184">
        <v>10</v>
      </c>
    </row>
    <row r="21" spans="29:29" ht="14.7" customHeight="1">
      <c r="AC21" s="86">
        <v>14</v>
      </c>
    </row>
    <row r="22" spans="29:29" ht="14.7" customHeight="1">
      <c r="AC22" s="86">
        <v>14</v>
      </c>
    </row>
    <row r="23" spans="29:29" ht="14.7" customHeight="1">
      <c r="AC23" s="86">
        <v>14</v>
      </c>
    </row>
    <row r="24" spans="8:29" ht="14.7" customHeight="1">
      <c r="H24" s="67"/>
      <c r="AC24" s="86">
        <v>14</v>
      </c>
    </row>
    <row r="25" spans="29:29" ht="14.7" customHeight="1">
      <c r="AC25" s="86">
        <v>14</v>
      </c>
    </row>
    <row r="26" spans="29:29" ht="14.7" customHeight="1">
      <c r="AC26" s="86">
        <v>14</v>
      </c>
    </row>
    <row r="27" spans="29:29" ht="14.7" customHeight="1">
      <c r="AC27" s="86">
        <v>14</v>
      </c>
    </row>
    <row r="28" spans="10:29" ht="14.7" customHeight="1">
      <c r="J28" s="86"/>
      <c s="86"/>
      <c s="86"/>
      <c r="AC28" s="86">
        <v>14</v>
      </c>
    </row>
    <row r="29" spans="1:29" ht="22.5" customHeight="1" hidden="1">
      <c r="A29" s="761" t="s">
        <v>81</v>
      </c>
      <c s="420">
        <v>0</v>
      </c>
      <c s="761">
        <v>3</v>
      </c>
      <c s="168">
        <v>3</v>
      </c>
      <c s="86">
        <v>6</v>
      </c>
      <c s="761">
        <v>0</v>
      </c>
      <c s="86">
        <v>46</v>
      </c>
      <c s="86">
        <v>42</v>
      </c>
      <c s="86">
        <v>14</v>
      </c>
      <c s="158">
        <v>3</v>
      </c>
      <c s="158">
        <v>0</v>
      </c>
      <c s="158">
        <v>0</v>
      </c>
      <c s="158">
        <v>0</v>
      </c>
      <c s="229">
        <v>0</v>
      </c>
      <c s="158">
        <v>0</v>
      </c>
      <c s="228">
        <v>0</v>
      </c>
      <c s="228">
        <v>0</v>
      </c>
      <c s="228">
        <v>0</v>
      </c>
      <c s="228">
        <v>0</v>
      </c>
      <c s="86">
        <v>0</v>
      </c>
      <c s="86">
        <v>0</v>
      </c>
      <c s="86">
        <v>0</v>
      </c>
      <c s="86">
        <v>0</v>
      </c>
      <c s="86">
        <v>0</v>
      </c>
      <c s="86">
        <v>0</v>
      </c>
      <c s="86">
        <v>0</v>
      </c>
      <c s="86">
        <v>0</v>
      </c>
      <c s="86">
        <v>8</v>
      </c>
      <c s="86">
        <v>23</v>
      </c>
    </row>
  </sheetData>
  <sheetProtection formatColumns="0" formatRows="0" insertRows="0" deleteColumns="0" deleteRows="0" sort="0" autoFilter="0"/>
  <mergeCells count="4">
    <mergeCell ref="A12:A14"/>
    <mergeCell ref="E4:I4"/>
    <mergeCell ref="E8:G8"/>
    <mergeCell ref="H8:I8"/>
  </mergeCells>
  <dataValidations count="1">
    <dataValidation type="textLength" operator="lessThanOrEqual" allowBlank="1" showInputMessage="1" showErrorMessage="1" errorTitle="Ошибка" error="Допускается ввод не более 900 символов!" sqref="G12">
      <formula1>900</formula1>
    </dataValidation>
  </dataValidations>
  <printOptions horizontalCentered="1" verticalCentered="1"/>
  <pageMargins left="0" right="0" top="0" bottom="0" header="0" footer="0.79"/>
  <pageSetup blackAndWhite="1" fitToHeight="0" orientation="portrait" paperSize="9" scale="93"/>
  <drawing r:id="rId1"/>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m="http://schemas.microsoft.com/office/excel/2006/main" xmlns:x14ac="http://schemas.microsoft.com/office/spreadsheetml/2009/9/ac" xmlns:xr="http://schemas.microsoft.com/office/spreadsheetml/2014/revision" xmlns:xr2="http://schemas.microsoft.com/office/spreadsheetml/2015/revision2" xmlns:xr3="http://schemas.microsoft.com/office/spreadsheetml/2016/revision3" xr:uid="{E7F8800E-DB5B-F912-3679-815C0D86EAA3}" mc:Ignorable="x14ac xr xr2 xr3">
  <sheetPr>
    <tabColor rgb="FFCCCCFF"/>
  </sheetPr>
  <dimension ref="A1:AM17"/>
  <sheetViews>
    <sheetView showGridLines="0" zoomScale="90" zoomScaleNormal="90" workbookViewId="0" topLeftCell="A1">
      <pane xSplit="4" ySplit="12" topLeftCell="E13" activePane="bottomRight" state="frozen"/>
      <selection pane="topLeft" activeCell="A1" sqref="A1"/>
      <selection pane="bottomLeft" activeCell="A13" sqref="A13"/>
      <selection pane="topRight" activeCell="E1" sqref="E1"/>
      <selection pane="bottomRight" activeCell="M13" sqref="M13"/>
    </sheetView>
  </sheetViews>
  <sheetFormatPr defaultColWidth="9.14428571428571" defaultRowHeight="11.25" customHeight="1"/>
  <cols>
    <col min="1" max="1" width="6.42857142857143" style="1856" hidden="1" customWidth="1"/>
    <col min="2" max="2" width="2" style="1856" hidden="1" customWidth="1"/>
    <col min="3" max="3" width="3" style="1856" customWidth="1"/>
    <col min="4" max="4" width="4" style="1856" customWidth="1"/>
    <col min="5" max="5" width="44" style="1856" customWidth="1"/>
    <col min="6" max="6" width="6.42857142857143" style="1856" customWidth="1"/>
    <col min="7" max="7" width="4" style="1856" customWidth="1"/>
    <col min="8" max="8" width="5" style="1856" customWidth="1"/>
    <col min="9" max="9" width="52" style="1856" customWidth="1"/>
    <col min="10" max="10" width="7" style="1856" customWidth="1"/>
    <col min="11" max="11" width="3" style="1856" customWidth="1"/>
    <col min="12" max="12" width="6" style="1856" customWidth="1"/>
    <col min="13" max="13" width="56" style="1856" customWidth="1"/>
    <col min="14" max="14" width="8" style="1373" customWidth="1"/>
    <col min="15" max="20" width="9.14285714285714" style="1627" hidden="1"/>
    <col min="21" max="24" width="9.14285714285714" style="1269" hidden="1"/>
    <col min="25" max="37" width="9.14285714285714" style="1373" hidden="1"/>
    <col min="38" max="38" width="8" style="1373" customWidth="1"/>
    <col min="39" max="39" width="9.14285714285714" style="1856" hidden="1"/>
  </cols>
  <sheetData>
    <row r="1" spans="39:39" ht="11.25" customHeight="1" hidden="1">
      <c r="AM1" s="586" t="s">
        <v>14</v>
      </c>
    </row>
    <row r="2" spans="39:39" ht="11.25" customHeight="1" hidden="1">
      <c r="AM2" s="586">
        <v>0</v>
      </c>
    </row>
    <row r="3" spans="39:39" ht="11.55" customHeight="1">
      <c r="AM3" s="586">
        <v>11</v>
      </c>
    </row>
    <row r="4" spans="1:39" ht="35.7" customHeight="1">
      <c r="A4" s="588"/>
      <c s="588"/>
      <c r="D4" s="2122" t="str">
        <f>Титульный!E5</f>
        <v>Информация о наличии (отсутствии) технической возможности подключения к централизованной системе водоотведения, а также о регистрации и ходе реализации заявок о подключении к централизованной системе водоотведения</v>
      </c>
      <c s="2123"/>
      <c s="2123"/>
      <c s="2123"/>
      <c s="2123"/>
      <c s="2124"/>
      <c s="587"/>
      <c s="587"/>
      <c s="587"/>
      <c s="587"/>
      <c r="AM4" s="586">
        <v>34</v>
      </c>
    </row>
    <row r="5" spans="1:39" s="592" customFormat="1" ht="14.7" customHeight="1">
      <c r="A5" s="588"/>
      <c s="588"/>
      <c s="588"/>
      <c s="2125" t="str">
        <f>IF(org=0,"Не определено",org)</f>
        <v>ГУП КК "Кубаньводкомплекс"</v>
      </c>
      <c s="2126"/>
      <c s="2126"/>
      <c s="2126"/>
      <c s="2126"/>
      <c s="2127"/>
      <c s="589"/>
      <c s="589"/>
      <c s="589"/>
      <c s="589"/>
      <c s="589"/>
      <c s="873"/>
      <c s="873"/>
      <c s="873"/>
      <c s="873"/>
      <c s="873"/>
      <c s="873"/>
      <c s="1264"/>
      <c s="1264"/>
      <c s="1264"/>
      <c s="1264"/>
      <c s="589"/>
      <c s="589"/>
      <c s="589"/>
      <c s="589"/>
      <c s="589"/>
      <c s="589"/>
      <c s="589"/>
      <c s="589"/>
      <c s="589"/>
      <c s="589"/>
      <c s="589"/>
      <c s="589"/>
      <c s="589"/>
      <c s="589"/>
      <c s="590">
        <v>14</v>
      </c>
    </row>
    <row r="6" spans="1:39" s="592" customFormat="1" ht="6.3" customHeight="1">
      <c r="A6" s="2128"/>
      <c s="2128"/>
      <c s="2128"/>
      <c s="2128"/>
      <c s="2128"/>
      <c s="2128"/>
      <c s="591"/>
      <c s="591"/>
      <c s="591"/>
      <c s="591"/>
      <c s="591"/>
      <c r="N6" s="593"/>
      <c s="1417"/>
      <c s="1417"/>
      <c s="1417"/>
      <c s="1417"/>
      <c s="1417"/>
      <c s="1417"/>
      <c s="1267"/>
      <c s="1267"/>
      <c s="1267"/>
      <c s="1267"/>
      <c s="593"/>
      <c s="593"/>
      <c s="593"/>
      <c s="593"/>
      <c s="593"/>
      <c s="593"/>
      <c s="593"/>
      <c s="593"/>
      <c s="593"/>
      <c s="593"/>
      <c s="593"/>
      <c s="593"/>
      <c s="593"/>
      <c s="593"/>
      <c s="592">
        <v>6</v>
      </c>
    </row>
    <row r="7" spans="5:39" ht="45.75" customHeight="1" hidden="1">
      <c r="E7" s="2133" t="str">
        <f>"1. В случае дифференциации раскрываемой информации по системам "&amp;TEMPLATE_SPHERE_RUS&amp;" для каждой системы "&amp;TEMPLATE_SPHERE_RUS&amp;"должна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"&amp;TEMPLATE_SPHERE_RUS&amp;"будут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f>
        <v>1. В случае дифференциации раскрываемой информации по системам водоотведения для каждой системы водоотведениядолжна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водоотведениябудут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v>
      </c>
      <c s="2134"/>
      <c s="2134"/>
      <c s="2134"/>
      <c s="2134"/>
      <c s="2134"/>
      <c s="2134"/>
      <c s="2134"/>
      <c s="2134"/>
      <c r="AM7" s="586">
        <v>0</v>
      </c>
    </row>
    <row r="8" spans="1:39" s="592" customFormat="1" ht="6.3" customHeight="1">
      <c r="A8" s="594"/>
      <c s="594"/>
      <c s="594"/>
      <c s="594"/>
      <c s="594"/>
      <c s="594"/>
      <c s="594"/>
      <c s="594"/>
      <c s="594"/>
      <c s="594"/>
      <c s="594"/>
      <c s="594"/>
      <c s="592"/>
      <c s="589"/>
      <c s="873"/>
      <c s="873"/>
      <c s="873"/>
      <c s="873"/>
      <c s="873"/>
      <c s="873"/>
      <c s="1264"/>
      <c s="1264"/>
      <c s="1264"/>
      <c s="1264"/>
      <c s="589"/>
      <c s="589"/>
      <c s="589"/>
      <c s="589"/>
      <c s="589"/>
      <c s="589"/>
      <c s="589"/>
      <c s="589"/>
      <c s="589"/>
      <c s="589"/>
      <c s="589"/>
      <c s="589"/>
      <c s="589"/>
      <c s="589"/>
      <c s="590">
        <v>6</v>
      </c>
    </row>
    <row r="9" spans="1:39" ht="18.75" customHeight="1">
      <c r="A9" s="2129"/>
      <c s="326"/>
      <c s="326"/>
      <c s="2130" t="s">
        <v>105</v>
      </c>
      <c s="2130"/>
      <c s="2131" t="s">
        <v>106</v>
      </c>
      <c s="2132"/>
      <c s="2132"/>
      <c s="2132"/>
      <c s="2135" t="s">
        <v>107</v>
      </c>
      <c s="2135"/>
      <c s="2135"/>
      <c s="2135"/>
      <c r="AM9" s="586">
        <v>18</v>
      </c>
    </row>
    <row r="10" spans="1:39" ht="24" customHeight="1">
      <c r="A10" s="2129"/>
      <c s="595"/>
      <c s="528"/>
      <c s="526" t="s">
        <v>87</v>
      </c>
      <c s="526" t="s">
        <v>88</v>
      </c>
      <c s="526" t="s">
        <v>108</v>
      </c>
      <c s="2136" t="s">
        <v>87</v>
      </c>
      <c s="2137"/>
      <c s="526" t="s">
        <v>88</v>
      </c>
      <c s="526" t="s">
        <v>108</v>
      </c>
      <c s="2136" t="s">
        <v>87</v>
      </c>
      <c s="2137"/>
      <c s="526" t="s">
        <v>88</v>
      </c>
      <c s="1630"/>
      <c r="AM10" s="586">
        <v>23</v>
      </c>
    </row>
    <row r="11" spans="1:39" s="1856" customFormat="1" ht="11.25" customHeight="1" hidden="1">
      <c r="A11" s="596"/>
      <c s="596"/>
      <c s="596"/>
      <c s="597" t="s">
        <v>109</v>
      </c>
      <c s="597" t="s">
        <v>110</v>
      </c>
      <c s="597" t="s">
        <v>89</v>
      </c>
      <c s="2118" t="s">
        <v>90</v>
      </c>
      <c s="2119"/>
      <c s="597" t="s">
        <v>111</v>
      </c>
      <c s="597" t="s">
        <v>91</v>
      </c>
      <c s="2120" t="s">
        <v>92</v>
      </c>
      <c s="2121"/>
      <c s="597" t="s">
        <v>112</v>
      </c>
      <c s="1629"/>
      <c s="1416"/>
      <c s="1418"/>
      <c s="1418"/>
      <c s="1418"/>
      <c s="1418"/>
      <c s="1418"/>
      <c s="1268"/>
      <c s="1268"/>
      <c s="1268"/>
      <c s="1268"/>
      <c s="598"/>
      <c s="598"/>
      <c s="598"/>
      <c s="598"/>
      <c s="598"/>
      <c s="598"/>
      <c s="598"/>
      <c s="598"/>
      <c s="598"/>
      <c s="598"/>
      <c s="598"/>
      <c s="598"/>
      <c s="598"/>
      <c s="598"/>
      <c s="599">
        <v>0</v>
      </c>
    </row>
    <row r="12" spans="1:39" ht="1.05" customHeight="1">
      <c r="A12" s="600"/>
      <c s="601"/>
      <c s="601"/>
      <c s="602"/>
      <c s="370"/>
      <c s="603"/>
      <c s="1062"/>
      <c s="1062"/>
      <c s="603"/>
      <c s="603"/>
      <c s="177"/>
      <c s="370"/>
      <c s="604"/>
      <c s="1630"/>
      <c s="1416" t="s">
        <v>113</v>
      </c>
      <c s="1416" t="s">
        <v>114</v>
      </c>
      <c s="1416" t="s">
        <v>115</v>
      </c>
      <c s="1416" t="s">
        <v>116</v>
      </c>
      <c r="AM12" s="586">
        <v>1</v>
      </c>
    </row>
    <row r="13" spans="1:39" s="1856" customFormat="1" ht="15.75" customHeight="1">
      <c r="A13" s="296"/>
      <c s="296"/>
      <c s="529"/>
      <c s="2111" t="s">
        <v>109</v>
      </c>
      <c s="2112" t="str">
        <f>INDEX(VD_NAME_LIST,MATCH("4189714",VD_ID_LIST,0))&amp;"; "&amp;INDEX(VD_NAME_LIST,MATCH("4189713",VD_ID_LIST,0))&amp;"; "&amp;INDEX(VD_NAME_LIST,MATCH("4189712",VD_ID_LIST,0))</f>
        <v>Водоотведение; Транспортировка; Подключение (технологическое присоединение) к централизованной системе водоотведения</v>
      </c>
      <c s="2115" t="s">
        <v>65</v>
      </c>
      <c s="2116"/>
      <c s="2117">
        <v>1</v>
      </c>
      <c s="2108" t="str">
        <f>IF(U13="","",INDEX(TERRITORY_MR_LIST,MATCH(U13,TERRITORY_LIST_ID,0)))</f>
        <v>Территория 1</v>
      </c>
      <c s="2110" t="s">
        <v>65</v>
      </c>
      <c s="605"/>
      <c s="530" t="s">
        <v>109</v>
      </c>
      <c s="2633" t="s">
        <v>117</v>
      </c>
      <c s="815"/>
      <c s="1419" t="s">
        <v>118</v>
      </c>
      <c s="1416" t="str">
        <f>$E$13</f>
        <v>Водоотведение; Транспортировка; Подключение (технологическое присоединение) к централизованной системе водоотведения</v>
      </c>
      <c s="1416" t="str">
        <f>IF($F$13="нет","без дифференциации",$I$13)</f>
        <v>Территория 1</v>
      </c>
      <c s="1416" t="str">
        <f>IF($J$13="нет","без дифференциации",M13)</f>
        <v>Ейский групповой водопровод (разводящие сети)</v>
      </c>
      <c s="1419"/>
      <c s="1419"/>
      <c s="1269" t="s">
        <v>97</v>
      </c>
      <c s="1269" t="s">
        <v>119</v>
      </c>
      <c s="1269"/>
      <c s="1269"/>
      <c s="607" t="s">
        <v>120</v>
      </c>
      <c s="607">
        <v>1705000</v>
      </c>
      <c s="607"/>
      <c s="607"/>
      <c s="607"/>
      <c s="607"/>
      <c s="607"/>
      <c s="607"/>
      <c s="607"/>
      <c s="607"/>
      <c s="607"/>
      <c s="607"/>
      <c s="607"/>
      <c s="607"/>
      <c s="609">
        <v>15</v>
      </c>
    </row>
    <row r="14" spans="1:39" s="1856" customFormat="1" ht="15.75" customHeight="1">
      <c r="A14" s="296"/>
      <c s="296"/>
      <c s="179"/>
      <c s="2111"/>
      <c s="2113"/>
      <c s="2110"/>
      <c s="2116"/>
      <c s="2117"/>
      <c s="2109"/>
      <c s="2110"/>
      <c s="424"/>
      <c s="180"/>
      <c s="610" t="s">
        <v>121</v>
      </c>
      <c s="815"/>
      <c s="1419"/>
      <c s="1416"/>
      <c s="1416"/>
      <c s="1416"/>
      <c s="1419"/>
      <c s="1419"/>
      <c s="1269"/>
      <c s="1269"/>
      <c s="1269"/>
      <c s="1269"/>
      <c s="607"/>
      <c s="607"/>
      <c s="607"/>
      <c s="607"/>
      <c s="607"/>
      <c s="607"/>
      <c s="607"/>
      <c s="607"/>
      <c s="607"/>
      <c s="607"/>
      <c s="607"/>
      <c s="607"/>
      <c s="607"/>
      <c s="607"/>
      <c s="609">
        <v>15</v>
      </c>
    </row>
    <row r="15" spans="1:39" s="1856" customFormat="1" ht="15.75" customHeight="1">
      <c r="A15" s="296"/>
      <c s="296"/>
      <c s="179"/>
      <c s="2111"/>
      <c s="2114"/>
      <c s="2110"/>
      <c s="1063"/>
      <c s="1064"/>
      <c s="583" t="s">
        <v>122</v>
      </c>
      <c s="180"/>
      <c s="180"/>
      <c s="180"/>
      <c s="611"/>
      <c s="815"/>
      <c s="1419"/>
      <c s="1416"/>
      <c s="1416"/>
      <c s="1416"/>
      <c s="1419"/>
      <c s="1419"/>
      <c s="1269"/>
      <c s="1269"/>
      <c s="1269"/>
      <c s="1269"/>
      <c s="607"/>
      <c s="607"/>
      <c s="607"/>
      <c s="607"/>
      <c s="607"/>
      <c s="607"/>
      <c s="607"/>
      <c s="607"/>
      <c s="607"/>
      <c s="607"/>
      <c s="607"/>
      <c s="607"/>
      <c s="607"/>
      <c s="607"/>
      <c s="609">
        <v>15</v>
      </c>
    </row>
    <row r="16" spans="1:39" ht="15.75" customHeight="1">
      <c r="A16" s="612"/>
      <c s="138"/>
      <c s="809"/>
      <c s="424"/>
      <c s="574" t="s">
        <v>123</v>
      </c>
      <c s="180"/>
      <c s="180"/>
      <c s="180"/>
      <c s="180"/>
      <c s="180"/>
      <c s="180" t="s">
        <v>22</v>
      </c>
      <c s="180"/>
      <c s="611"/>
      <c s="1630"/>
      <c r="AM16" s="586">
        <v>15</v>
      </c>
    </row>
    <row r="17" spans="1:39" ht="11.25" customHeight="1" hidden="1">
      <c r="A17" s="586" t="s">
        <v>81</v>
      </c>
      <c s="586">
        <v>0</v>
      </c>
      <c s="586">
        <v>3</v>
      </c>
      <c s="586">
        <v>4</v>
      </c>
      <c s="586">
        <v>44</v>
      </c>
      <c s="586">
        <v>6</v>
      </c>
      <c s="586">
        <v>4</v>
      </c>
      <c s="586">
        <v>5</v>
      </c>
      <c s="586">
        <v>52</v>
      </c>
      <c s="586">
        <v>6</v>
      </c>
      <c s="586">
        <v>3</v>
      </c>
      <c s="586">
        <v>6</v>
      </c>
      <c s="586">
        <v>56</v>
      </c>
      <c s="587">
        <v>8</v>
      </c>
      <c s="1416">
        <v>0</v>
      </c>
      <c s="1416">
        <v>0</v>
      </c>
      <c s="1416">
        <v>0</v>
      </c>
      <c s="1416">
        <v>0</v>
      </c>
      <c s="1416">
        <v>0</v>
      </c>
      <c s="1416">
        <v>0</v>
      </c>
      <c s="1266">
        <v>0</v>
      </c>
      <c s="1266">
        <v>0</v>
      </c>
      <c s="1266">
        <v>0</v>
      </c>
      <c s="1266">
        <v>0</v>
      </c>
      <c s="587">
        <v>0</v>
      </c>
      <c s="587">
        <v>0</v>
      </c>
      <c s="587">
        <v>0</v>
      </c>
      <c s="587">
        <v>0</v>
      </c>
      <c s="587">
        <v>0</v>
      </c>
      <c s="587">
        <v>0</v>
      </c>
      <c s="587">
        <v>0</v>
      </c>
      <c s="587">
        <v>0</v>
      </c>
      <c s="587">
        <v>0</v>
      </c>
      <c s="587">
        <v>0</v>
      </c>
      <c s="587">
        <v>0</v>
      </c>
      <c s="587">
        <v>0</v>
      </c>
      <c s="587">
        <v>0</v>
      </c>
      <c s="587">
        <v>8</v>
      </c>
      <c s="586">
        <v>11</v>
      </c>
    </row>
  </sheetData>
  <sheetProtection formatColumns="0" formatRows="0" insertRows="0" deleteColumns="0" deleteRows="0" sort="0" autoFilter="0"/>
  <mergeCells count="19">
    <mergeCell ref="G11:H11"/>
    <mergeCell ref="K11:L11"/>
    <mergeCell ref="D4:I4"/>
    <mergeCell ref="D5:I5"/>
    <mergeCell ref="A6:F6"/>
    <mergeCell ref="A9:A10"/>
    <mergeCell ref="D9:E9"/>
    <mergeCell ref="F9:I9"/>
    <mergeCell ref="E7:M7"/>
    <mergeCell ref="J9:M9"/>
    <mergeCell ref="G10:H10"/>
    <mergeCell ref="K10:L10"/>
    <mergeCell ref="I13:I14"/>
    <mergeCell ref="J13:J14"/>
    <mergeCell ref="D13:D15"/>
    <mergeCell ref="E13:E15"/>
    <mergeCell ref="F13:F15"/>
    <mergeCell ref="G13:G14"/>
    <mergeCell ref="H13:H14"/>
  </mergeCells>
  <dataValidations count="1">
    <dataValidation type="textLength" operator="lessThan" allowBlank="1" showInputMessage="1" showErrorMessage="1" error="Допускается ввод не более 900 символов!" sqref="M13">
      <formula1>900</formula1>
    </dataValidation>
  </dataValidations>
  <pageMargins left="0.7" right="0.7" top="0.75" bottom="0.75" header="0.3" footer="0.3"/>
  <pageSetup orientation="portrait" paperSize="9"/>
  <drawing r:id="rId1"/>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m="http://schemas.microsoft.com/office/excel/2006/main" xmlns:x14ac="http://schemas.microsoft.com/office/spreadsheetml/2009/9/ac" xmlns:xr="http://schemas.microsoft.com/office/spreadsheetml/2014/revision" xmlns:xr2="http://schemas.microsoft.com/office/spreadsheetml/2015/revision2" xmlns:xr3="http://schemas.microsoft.com/office/spreadsheetml/2016/revision3" xr:uid="{511C63AE-DFA7-BA21-7BFB-E6D549D29AAC}" mc:Ignorable="x14ac xr xr2 xr3">
  <sheetPr>
    <tabColor rgb="FFCCCCFF"/>
  </sheetPr>
  <dimension ref="A1:AR146"/>
  <sheetViews>
    <sheetView showGridLines="0" zoomScale="90" zoomScaleNormal="90" workbookViewId="0" topLeftCell="A1">
      <pane xSplit="6" ySplit="12" topLeftCell="G13" activePane="bottomRight" state="frozen"/>
      <selection pane="topLeft" activeCell="A1" sqref="A1"/>
      <selection pane="bottomLeft" activeCell="A13" sqref="A13"/>
      <selection pane="topRight" activeCell="G1" sqref="G1"/>
      <selection pane="bottomRight" activeCell="A1" sqref="A1"/>
    </sheetView>
  </sheetViews>
  <sheetFormatPr defaultColWidth="9.14428571428571" defaultRowHeight="11.25" customHeight="1"/>
  <cols>
    <col min="1" max="2" width="3.71428571428571" style="1627" hidden="1" customWidth="1"/>
    <col min="3" max="3" width="3" style="1856" customWidth="1"/>
    <col min="4" max="4" width="6" style="1856" customWidth="1"/>
    <col min="5" max="5" width="42" style="1856" customWidth="1"/>
    <col min="6" max="6" width="15" style="1856" customWidth="1"/>
    <col min="7" max="7" width="42" style="1856" customWidth="1"/>
    <col min="8" max="8" width="3" style="1856" customWidth="1"/>
    <col min="9" max="9" width="5" style="1856" customWidth="1"/>
    <col min="10" max="10" width="47" style="1856" customWidth="1"/>
    <col min="11" max="12" width="3" style="1856" customWidth="1"/>
    <col min="13" max="13" width="5" style="1856" customWidth="1"/>
    <col min="14" max="14" width="28" style="1856" customWidth="1"/>
    <col min="15" max="16" width="3" style="1856" customWidth="1"/>
    <col min="17" max="17" width="5" style="1856" customWidth="1"/>
    <col min="18" max="18" width="34" style="1856" customWidth="1"/>
    <col min="19" max="20" width="3.71428571428571" style="1856" hidden="1" customWidth="1"/>
    <col min="21" max="21" width="5.71428571428571" style="1856" hidden="1" customWidth="1"/>
    <col min="22" max="22" width="34.4285714285714" style="1856" hidden="1" customWidth="1"/>
    <col min="23" max="23" width="30" style="1856" customWidth="1"/>
    <col min="24" max="24" width="3" style="1856" customWidth="1"/>
    <col min="25" max="28" width="9.85714285714286" style="1269" hidden="1" customWidth="1"/>
    <col min="29" max="29" width="27" style="1269" hidden="1" customWidth="1"/>
    <col min="30" max="30" width="10.5714285714286" style="1269" hidden="1" customWidth="1"/>
    <col min="31" max="31" width="10.7142857142857" style="1269" hidden="1" customWidth="1"/>
    <col min="32" max="32" width="10" style="1269" hidden="1" customWidth="1"/>
    <col min="33" max="33" width="12.8571428571429" style="1269" hidden="1" customWidth="1"/>
    <col min="34" max="34" width="24.4285714285714" style="1269" hidden="1" customWidth="1"/>
    <col min="35" max="35" width="15.8571428571429" style="1269" hidden="1" customWidth="1"/>
    <col min="36" max="36" width="19.4285714285714" style="1269" hidden="1" customWidth="1"/>
    <col min="37" max="37" width="11" style="1269" hidden="1" customWidth="1"/>
    <col min="38" max="38" width="23.5714285714286" style="1269" hidden="1" customWidth="1"/>
    <col min="39" max="39" width="23.8571428571429" style="1269" hidden="1" customWidth="1"/>
    <col min="40" max="40" width="25.2857142857143" style="1269" hidden="1" customWidth="1"/>
    <col min="41" max="41" width="16.8571428571429" style="1269" hidden="1" customWidth="1"/>
    <col min="42" max="42" width="29.5714285714286" style="1269" hidden="1" customWidth="1"/>
    <col min="43" max="43" width="29.8571428571429" style="1269" hidden="1" customWidth="1"/>
    <col min="44" max="44" width="9.14285714285714" style="1856" hidden="1"/>
  </cols>
  <sheetData>
    <row r="1" spans="1:1 44:44" ht="11.25" customHeight="1" hidden="1">
      <c r="A1" s="159"/>
      <c r="AR1" s="107" t="s">
        <v>14</v>
      </c>
    </row>
    <row r="2" spans="44:44" ht="11.25" customHeight="1" hidden="1">
      <c r="AR2" s="107">
        <v>0</v>
      </c>
    </row>
    <row r="3" spans="44:44" ht="11.25" customHeight="1" hidden="1">
      <c r="AR3" s="107">
        <v>0</v>
      </c>
    </row>
    <row r="4" spans="44:44" ht="3" customHeight="1">
      <c r="AR4" s="107">
        <v>3</v>
      </c>
    </row>
    <row r="5" spans="1:44" s="592" customFormat="1" ht="30.45" customHeight="1">
      <c r="A5" s="157"/>
      <c s="157"/>
      <c r="D5" s="2160" t="str">
        <f>"Перечень тарифов и технологически не связанных между собой централизованных систем "&amp;TEMPLATE_SPHERE_RUS&amp;", в отношении которых предлагаются различные тарифы в сфере  "&amp;TEMPLATE_SPHERE_RUS&amp;IF(TEMPLATE_SPHERE="HEAT"," и горячего водоснабжения с использованием открытых систем "&amp;TEMPLATE_SPHERE_RUS,"")&amp;" (информация раскрывается отдельно по каждой системе  "&amp;TEMPLATE_SPHERE_RUS&amp;")"</f>
        <v>Перечень тарифов и технологически не связанных между собой централизованных систем водоотведения, в отношении которых предлагаются различные тарифы в сфере  водоотведения (информация раскрывается отдельно по каждой системе  водоотведения)</v>
      </c>
      <c s="2161"/>
      <c s="2161"/>
      <c s="2161"/>
      <c s="2161"/>
      <c s="2161"/>
      <c s="2162"/>
      <c s="268"/>
      <c s="145"/>
      <c s="145"/>
      <c s="145"/>
      <c s="145"/>
      <c s="145"/>
      <c s="145"/>
      <c s="145"/>
      <c s="293"/>
      <c s="293"/>
      <c s="293"/>
      <c s="293"/>
      <c s="145"/>
      <c r="Y5" s="1263"/>
      <c s="1263"/>
      <c s="1263"/>
      <c s="1263"/>
      <c s="1263"/>
      <c s="1263"/>
      <c s="1263"/>
      <c s="1263"/>
      <c s="1263"/>
      <c s="1263"/>
      <c s="1263"/>
      <c s="1263"/>
      <c s="1263"/>
      <c s="1263"/>
      <c s="1263"/>
      <c s="1263"/>
      <c s="1263"/>
      <c s="1263"/>
      <c s="1263"/>
      <c s="114">
        <v>29</v>
      </c>
    </row>
    <row r="6" spans="1:44" s="592" customFormat="1" ht="14.7" customHeight="1">
      <c r="A6" s="588"/>
      <c s="588"/>
      <c s="588"/>
      <c s="2166" t="str">
        <f>IF(org=0,"Не определено",org)</f>
        <v>ГУП КК "Кубаньводкомплекс"</v>
      </c>
      <c s="2166"/>
      <c s="2166"/>
      <c s="2166"/>
      <c s="2166"/>
      <c s="2166"/>
      <c s="2166"/>
      <c s="589"/>
      <c s="589"/>
      <c s="589"/>
      <c s="589"/>
      <c s="873"/>
      <c s="873"/>
      <c s="873"/>
      <c s="873"/>
      <c s="873"/>
      <c s="873"/>
      <c s="873"/>
      <c s="873"/>
      <c s="873"/>
      <c s="589"/>
      <c s="1264"/>
      <c s="1264"/>
      <c s="1264"/>
      <c s="1264"/>
      <c s="1264"/>
      <c s="1264"/>
      <c s="1264"/>
      <c s="1264"/>
      <c s="1264"/>
      <c s="1264"/>
      <c s="1264"/>
      <c s="1264"/>
      <c s="1264"/>
      <c s="1264"/>
      <c s="1264"/>
      <c s="1264"/>
      <c s="1264"/>
      <c s="1264"/>
      <c s="1264"/>
      <c s="590">
        <v>14</v>
      </c>
    </row>
    <row r="7" spans="1:44" s="302" customFormat="1" ht="11.55" customHeight="1">
      <c r="A7" s="214"/>
      <c s="214"/>
      <c r="D7" s="2163"/>
      <c s="2164"/>
      <c s="2164"/>
      <c s="2164"/>
      <c s="2164"/>
      <c s="2164"/>
      <c s="2165"/>
      <c r="S7" s="302"/>
      <c s="302"/>
      <c s="302"/>
      <c s="302"/>
      <c r="Y7" s="1265"/>
      <c s="1265"/>
      <c s="1265"/>
      <c s="1265"/>
      <c s="1265"/>
      <c s="1265"/>
      <c s="1265"/>
      <c s="1265"/>
      <c s="1265"/>
      <c s="1265"/>
      <c s="1265"/>
      <c s="1265"/>
      <c s="1265"/>
      <c s="1265"/>
      <c s="1265"/>
      <c s="1265"/>
      <c s="1265"/>
      <c s="1265"/>
      <c s="1265"/>
      <c s="279">
        <v>11</v>
      </c>
    </row>
    <row r="8" spans="1:44" s="592" customFormat="1" ht="1.05" customHeight="1">
      <c r="A8" s="157"/>
      <c s="157"/>
      <c r="D8" s="215"/>
      <c s="215"/>
      <c s="215"/>
      <c s="215"/>
      <c s="215"/>
      <c s="215"/>
      <c s="215"/>
      <c s="215"/>
      <c s="215"/>
      <c s="215"/>
      <c s="215"/>
      <c s="215"/>
      <c s="215"/>
      <c s="215"/>
      <c s="215"/>
      <c s="215"/>
      <c s="215"/>
      <c s="215"/>
      <c s="215"/>
      <c s="215"/>
      <c s="135"/>
      <c s="1263"/>
      <c s="1263"/>
      <c s="1263"/>
      <c s="1263"/>
      <c s="1263"/>
      <c s="1263"/>
      <c s="1263"/>
      <c s="1263"/>
      <c s="1263"/>
      <c s="1263"/>
      <c s="1263"/>
      <c s="1263"/>
      <c s="1263"/>
      <c s="1263"/>
      <c s="1263"/>
      <c s="1263"/>
      <c s="1263"/>
      <c s="1263"/>
      <c s="1263"/>
      <c s="114">
        <v>1</v>
      </c>
    </row>
    <row r="9" spans="4:44" ht="28.5" customHeight="1">
      <c r="D9" s="2130" t="s">
        <v>87</v>
      </c>
      <c s="2104" t="s">
        <v>124</v>
      </c>
      <c s="2106"/>
      <c s="2130" t="s">
        <v>105</v>
      </c>
      <c s="2130" t="s">
        <v>87</v>
      </c>
      <c s="2130"/>
      <c s="2130" t="s">
        <v>125</v>
      </c>
      <c s="2158" t="s">
        <v>126</v>
      </c>
      <c s="2158"/>
      <c s="2158"/>
      <c s="2158"/>
      <c s="2158" t="s">
        <v>127</v>
      </c>
      <c s="2158"/>
      <c s="2158"/>
      <c s="2158"/>
      <c s="2158" t="s">
        <v>128</v>
      </c>
      <c s="2158"/>
      <c s="2158"/>
      <c s="2158"/>
      <c s="2130" t="s">
        <v>129</v>
      </c>
      <c r="AR9" s="107">
        <v>27</v>
      </c>
    </row>
    <row r="10" spans="4:44" ht="31.5" customHeight="1">
      <c r="D10" s="2130"/>
      <c s="1287" t="s">
        <v>88</v>
      </c>
      <c s="1287" t="s">
        <v>130</v>
      </c>
      <c s="2130"/>
      <c s="2130"/>
      <c s="2130"/>
      <c s="2130"/>
      <c s="113" t="s">
        <v>108</v>
      </c>
      <c s="2130" t="s">
        <v>87</v>
      </c>
      <c s="2130"/>
      <c s="113" t="s">
        <v>131</v>
      </c>
      <c s="113" t="s">
        <v>108</v>
      </c>
      <c s="2130" t="s">
        <v>87</v>
      </c>
      <c s="2130"/>
      <c s="113" t="s">
        <v>131</v>
      </c>
      <c s="286" t="s">
        <v>108</v>
      </c>
      <c s="2130" t="s">
        <v>87</v>
      </c>
      <c s="2130"/>
      <c s="286" t="s">
        <v>88</v>
      </c>
      <c s="2130"/>
      <c r="Z10" s="1262" t="s">
        <v>132</v>
      </c>
      <c s="1262" t="s">
        <v>133</v>
      </c>
      <c s="1262" t="s">
        <v>134</v>
      </c>
      <c s="1262" t="s">
        <v>135</v>
      </c>
      <c s="1262" t="s">
        <v>136</v>
      </c>
      <c s="1262" t="s">
        <v>137</v>
      </c>
      <c s="1262" t="s">
        <v>138</v>
      </c>
      <c s="1262" t="s">
        <v>139</v>
      </c>
      <c s="1262" t="s">
        <v>140</v>
      </c>
      <c s="1262" t="s">
        <v>141</v>
      </c>
      <c s="1262" t="s">
        <v>142</v>
      </c>
      <c s="1262" t="s">
        <v>143</v>
      </c>
      <c s="1262" t="s">
        <v>144</v>
      </c>
      <c s="1262" t="s">
        <v>145</v>
      </c>
      <c s="1262" t="s">
        <v>146</v>
      </c>
      <c s="1262" t="s">
        <v>147</v>
      </c>
      <c s="1262" t="s">
        <v>148</v>
      </c>
      <c s="1262" t="s">
        <v>149</v>
      </c>
      <c s="107">
        <v>30</v>
      </c>
    </row>
    <row r="11" spans="4:44" s="1627" customFormat="1" ht="12" customHeight="1" hidden="1">
      <c r="D11" s="1252" t="s">
        <v>109</v>
      </c>
      <c s="1252" t="s">
        <v>110</v>
      </c>
      <c s="1252"/>
      <c s="1252" t="s">
        <v>89</v>
      </c>
      <c s="2159" t="s">
        <v>111</v>
      </c>
      <c s="2159"/>
      <c s="1252" t="s">
        <v>91</v>
      </c>
      <c s="1252" t="s">
        <v>92</v>
      </c>
      <c s="2159" t="s">
        <v>112</v>
      </c>
      <c s="2159"/>
      <c s="1252" t="s">
        <v>150</v>
      </c>
      <c s="1252" t="s">
        <v>151</v>
      </c>
      <c s="2159" t="s">
        <v>152</v>
      </c>
      <c s="2159"/>
      <c s="1252" t="s">
        <v>153</v>
      </c>
      <c s="1252" t="s">
        <v>152</v>
      </c>
      <c s="2159" t="s">
        <v>153</v>
      </c>
      <c s="2159"/>
      <c s="1252" t="s">
        <v>154</v>
      </c>
      <c s="1252" t="s">
        <v>155</v>
      </c>
      <c r="Y11" s="1262"/>
      <c s="1262"/>
      <c s="1262"/>
      <c s="1262"/>
      <c s="1262"/>
      <c s="1262"/>
      <c s="1262"/>
      <c s="1262"/>
      <c s="1262"/>
      <c s="1262"/>
      <c s="1262"/>
      <c s="1262"/>
      <c s="1262"/>
      <c s="1262"/>
      <c s="1262"/>
      <c s="1262"/>
      <c s="1262"/>
      <c s="1262"/>
      <c s="1262"/>
      <c s="280">
        <v>0</v>
      </c>
    </row>
    <row r="12" spans="3:44" ht="14.25" customHeight="1" hidden="1">
      <c r="C12" s="212"/>
      <c s="1285">
        <v>0</v>
      </c>
      <c s="253"/>
      <c s="253"/>
      <c s="253"/>
      <c s="254"/>
      <c s="254"/>
      <c s="161"/>
      <c s="115"/>
      <c s="161"/>
      <c s="161"/>
      <c s="255"/>
      <c s="115"/>
      <c s="161"/>
      <c s="161"/>
      <c s="256"/>
      <c s="287"/>
      <c s="295"/>
      <c s="295"/>
      <c s="299"/>
      <c s="115"/>
      <c s="144"/>
      <c r="AR12" s="107">
        <v>0</v>
      </c>
    </row>
    <row r="13" spans="1:44" s="1856" customFormat="1" ht="17.25" customHeight="1" hidden="1">
      <c r="A13" s="324"/>
      <c r="C13" s="212"/>
      <c s="2138">
        <v>1</v>
      </c>
      <c s="2146" t="s">
        <v>156</v>
      </c>
      <c s="2148" t="s">
        <v>19</v>
      </c>
      <c s="2146"/>
      <c s="2151"/>
      <c s="2153"/>
      <c s="2155"/>
      <c s="2140"/>
      <c s="2140"/>
      <c s="2140"/>
      <c s="2142"/>
      <c s="2140"/>
      <c s="2140"/>
      <c s="2140"/>
      <c s="2145"/>
      <c s="2140"/>
      <c s="1423"/>
      <c s="1423"/>
      <c s="1422"/>
      <c s="1299"/>
      <c r="Y13" s="1270"/>
      <c s="1270"/>
      <c s="1270"/>
      <c s="1270"/>
      <c s="1270" t="s">
        <v>157</v>
      </c>
      <c s="1270" t="s">
        <v>158</v>
      </c>
      <c s="1270" t="s">
        <v>159</v>
      </c>
      <c s="1270" t="s">
        <v>160</v>
      </c>
      <c s="1270" t="s">
        <v>161</v>
      </c>
      <c s="1270" t="str">
        <f>IF($E$13=0,"",$E$13)</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s="1270" t="str">
        <f>IF($G$13=0,"",$G$13)</f>
        <v/>
      </c>
      <c s="1270" t="str">
        <f>IF($J$13=0,"",$J$13)</f>
        <v/>
      </c>
      <c s="1270" t="str">
        <f>IF($K$13="нет","без дифференциации",IF($N$13=0,"",$N$13))</f>
        <v/>
      </c>
      <c s="1270" t="str">
        <f>IF($O$13="нет","без дифференциации",IF($R$13=0,"",$R$13))</f>
        <v/>
      </c>
      <c s="1270" t="str">
        <f>IF($S$13="нет","без дифференциации",IF($V$13=0,"",$V$13))</f>
        <v/>
      </c>
      <c s="1270">
        <f>$I$13</f>
        <v>0</v>
      </c>
      <c s="1270" t="str">
        <f>$I$13&amp;"."&amp;$M$13</f>
        <v>.</v>
      </c>
      <c s="1270" t="str">
        <f>$I$13&amp;"."&amp;$M$13&amp;"."&amp;$Q$13</f>
        <v>..</v>
      </c>
      <c s="1270" t="str">
        <f>$I$13&amp;"."&amp;$M$13&amp;"."&amp;$Q$13&amp;"."&amp;$U$13</f>
        <v>...</v>
      </c>
      <c s="753">
        <v>0</v>
      </c>
    </row>
    <row r="14" spans="1:44" s="1856" customFormat="1" ht="17.25" customHeight="1" hidden="1">
      <c r="A14" s="324"/>
      <c r="C14" s="323"/>
      <c s="2138"/>
      <c s="2146"/>
      <c s="2149"/>
      <c s="2146"/>
      <c s="2152"/>
      <c s="2154"/>
      <c s="2156"/>
      <c s="2141"/>
      <c s="2141"/>
      <c s="2141"/>
      <c s="2143"/>
      <c s="2141"/>
      <c s="2141"/>
      <c s="2141"/>
      <c s="2144"/>
      <c s="2141"/>
      <c s="1300"/>
      <c s="1300"/>
      <c s="1300"/>
      <c s="1301"/>
      <c r="Y14" s="1262"/>
      <c s="1262"/>
      <c s="1262"/>
      <c s="1262"/>
      <c s="1262"/>
      <c s="1262"/>
      <c s="1262"/>
      <c s="1262"/>
      <c s="1262"/>
      <c s="1262"/>
      <c s="1262"/>
      <c s="1262"/>
      <c s="1262"/>
      <c s="1262"/>
      <c s="1262"/>
      <c s="1262"/>
      <c s="1262"/>
      <c s="1262"/>
      <c s="1262"/>
      <c s="753">
        <v>0</v>
      </c>
    </row>
    <row r="15" spans="1:44" s="1856" customFormat="1" ht="17.25" customHeight="1" hidden="1">
      <c r="A15" s="324"/>
      <c r="C15" s="212"/>
      <c s="2138"/>
      <c s="2146"/>
      <c s="2149"/>
      <c s="2146"/>
      <c s="2152"/>
      <c s="2154"/>
      <c s="2157"/>
      <c s="2141"/>
      <c s="2141"/>
      <c s="2141"/>
      <c s="2144"/>
      <c s="2141"/>
      <c s="1421"/>
      <c s="1300"/>
      <c s="1300"/>
      <c s="332"/>
      <c s="332"/>
      <c s="332"/>
      <c s="332"/>
      <c s="1301"/>
      <c r="Y15" s="1270"/>
      <c s="1270"/>
      <c s="1270"/>
      <c s="1270"/>
      <c s="1270"/>
      <c s="1270"/>
      <c s="1270"/>
      <c s="1270"/>
      <c s="1270"/>
      <c s="1270"/>
      <c s="1270"/>
      <c s="1270"/>
      <c s="1270"/>
      <c s="1270"/>
      <c s="1270"/>
      <c s="1270"/>
      <c s="1270"/>
      <c s="1270"/>
      <c s="1270"/>
      <c s="1420">
        <v>0</v>
      </c>
    </row>
    <row r="16" spans="1:44" s="1856" customFormat="1" ht="17.25" customHeight="1" hidden="1">
      <c r="A16" s="324"/>
      <c r="C16" s="323"/>
      <c s="2138"/>
      <c s="2146"/>
      <c s="2149"/>
      <c s="2146"/>
      <c s="2152"/>
      <c s="2154"/>
      <c s="2157"/>
      <c s="2141"/>
      <c s="1300"/>
      <c s="1300"/>
      <c s="1300"/>
      <c s="1300"/>
      <c s="1300"/>
      <c s="1300"/>
      <c s="1300"/>
      <c s="332"/>
      <c s="332"/>
      <c s="332"/>
      <c s="332"/>
      <c s="1301"/>
      <c r="Y16" s="1262"/>
      <c s="1262"/>
      <c s="1262"/>
      <c s="1262"/>
      <c s="1262"/>
      <c s="1262"/>
      <c s="1262"/>
      <c s="1262"/>
      <c s="1262"/>
      <c s="1262"/>
      <c s="1262"/>
      <c s="1262"/>
      <c s="1262"/>
      <c s="1262"/>
      <c s="1262"/>
      <c s="1262"/>
      <c s="1262"/>
      <c s="1262"/>
      <c s="1262"/>
      <c s="1420">
        <v>0</v>
      </c>
    </row>
    <row r="17" spans="1:44" s="1856" customFormat="1" ht="17.25" customHeight="1" hidden="1">
      <c r="A17" s="324"/>
      <c r="C17" s="323"/>
      <c s="2139"/>
      <c s="2147"/>
      <c s="2150"/>
      <c s="2147"/>
      <c s="1302"/>
      <c s="1303"/>
      <c s="1303"/>
      <c s="1303"/>
      <c s="1303"/>
      <c s="1303"/>
      <c s="1303"/>
      <c s="1303"/>
      <c s="1303"/>
      <c s="1303"/>
      <c s="1303"/>
      <c s="1304"/>
      <c s="1304"/>
      <c s="1304"/>
      <c s="1304"/>
      <c s="1305"/>
      <c r="Y17" s="1262"/>
      <c s="1262"/>
      <c s="1262"/>
      <c s="1262"/>
      <c s="1262"/>
      <c s="1262"/>
      <c s="1262"/>
      <c s="1262"/>
      <c s="1262"/>
      <c s="1262"/>
      <c s="1262"/>
      <c s="1262"/>
      <c s="1262"/>
      <c s="1262"/>
      <c s="1262"/>
      <c s="1262"/>
      <c s="1262"/>
      <c s="1262"/>
      <c s="1262"/>
      <c s="753">
        <v>0</v>
      </c>
    </row>
    <row r="18" spans="1:44" s="1856" customFormat="1" ht="17.25" customHeight="1" hidden="1">
      <c r="A18" s="324"/>
      <c r="C18" s="212"/>
      <c s="2138">
        <v>2</v>
      </c>
      <c s="2167"/>
      <c s="2148" t="s">
        <v>19</v>
      </c>
      <c s="2146"/>
      <c s="2151"/>
      <c s="2153"/>
      <c s="2155"/>
      <c s="2140"/>
      <c s="2140"/>
      <c s="2140"/>
      <c s="2142"/>
      <c s="2140"/>
      <c s="2140"/>
      <c s="2140"/>
      <c s="2145"/>
      <c s="2140"/>
      <c s="1423"/>
      <c s="1423"/>
      <c s="1422"/>
      <c s="1299"/>
      <c s="1270"/>
      <c s="1270"/>
      <c s="1270"/>
      <c s="1270"/>
      <c s="1270"/>
      <c s="1270" t="s">
        <v>162</v>
      </c>
      <c s="1270" t="s">
        <v>163</v>
      </c>
      <c s="1270" t="s">
        <v>164</v>
      </c>
      <c s="1270" t="s">
        <v>165</v>
      </c>
      <c s="1270" t="s">
        <v>166</v>
      </c>
      <c s="1270" t="str">
        <f>IF($E$18=0,"",$E$18)</f>
        <v/>
      </c>
      <c s="1270" t="str">
        <f>IF($G$18=0,"",$G$18)</f>
        <v/>
      </c>
      <c s="1270" t="str">
        <f>IF($J$18=0,"",$J$18)</f>
        <v/>
      </c>
      <c s="1270" t="str">
        <f>IF($K$18="нет","без дифференциации",IF($N$18=0,"",$N$18))</f>
        <v/>
      </c>
      <c s="1270" t="str">
        <f>IF($O$18="нет","без дифференциации",IF($R$18=0,"",$R$18))</f>
        <v/>
      </c>
      <c s="1270" t="str">
        <f>IF($S$18="нет","без дифференциации",IF($V$18=0,"",$V$18))</f>
        <v/>
      </c>
      <c s="1775">
        <f>$I$18</f>
        <v>0</v>
      </c>
      <c s="1270" t="str">
        <f>$I$18&amp;"."&amp;$M$18</f>
        <v>.</v>
      </c>
      <c s="1262" t="str">
        <f>$I$18&amp;"."&amp;$M$18&amp;"."&amp;$Q$18</f>
        <v>..</v>
      </c>
      <c s="1262" t="str">
        <f>$I$18&amp;"."&amp;$M$18&amp;"."&amp;$Q$18&amp;"."&amp;$U$18</f>
        <v>...</v>
      </c>
      <c s="1286">
        <v>0</v>
      </c>
    </row>
    <row r="19" spans="1:44" s="1856" customFormat="1" ht="17.25" customHeight="1" hidden="1">
      <c r="A19" s="324"/>
      <c r="C19" s="323"/>
      <c s="2138"/>
      <c s="2167"/>
      <c s="2149"/>
      <c s="2146"/>
      <c s="2152"/>
      <c s="2154"/>
      <c s="2156"/>
      <c s="2141"/>
      <c s="2141"/>
      <c s="2141"/>
      <c s="2143"/>
      <c s="2141"/>
      <c s="2141"/>
      <c s="2141"/>
      <c s="2144"/>
      <c s="2141"/>
      <c s="1300"/>
      <c s="1300"/>
      <c s="1300"/>
      <c s="1301"/>
      <c s="1262"/>
      <c s="1262"/>
      <c s="1262"/>
      <c s="1262"/>
      <c s="1262"/>
      <c s="1262"/>
      <c s="1262"/>
      <c s="1262"/>
      <c s="1262"/>
      <c s="1262"/>
      <c s="1262"/>
      <c s="1262"/>
      <c s="1262"/>
      <c s="1262"/>
      <c s="1262"/>
      <c s="1262"/>
      <c s="1262"/>
      <c s="1262"/>
      <c s="1262"/>
      <c s="1262"/>
      <c s="1286">
        <v>0</v>
      </c>
    </row>
    <row r="20" spans="1:44" s="1856" customFormat="1" ht="17.25" customHeight="1" hidden="1">
      <c r="A20" s="324"/>
      <c r="C20" s="323"/>
      <c s="2139"/>
      <c s="2168"/>
      <c s="2149"/>
      <c s="2147"/>
      <c s="2152"/>
      <c s="2154"/>
      <c s="2157"/>
      <c s="2141"/>
      <c s="2141"/>
      <c s="2141"/>
      <c s="2144"/>
      <c s="2141"/>
      <c s="1421"/>
      <c s="1300"/>
      <c s="1300"/>
      <c s="332"/>
      <c s="332"/>
      <c s="332"/>
      <c s="332"/>
      <c s="1301"/>
      <c s="1262"/>
      <c s="1262"/>
      <c s="1262"/>
      <c s="1262"/>
      <c s="1262"/>
      <c s="1262"/>
      <c s="1262"/>
      <c s="1262"/>
      <c s="1262"/>
      <c s="1262"/>
      <c s="1262"/>
      <c s="1262"/>
      <c s="1262"/>
      <c s="1262"/>
      <c s="1262"/>
      <c s="1262"/>
      <c s="1262"/>
      <c s="1262"/>
      <c s="1262"/>
      <c s="1262"/>
      <c s="1286">
        <v>0</v>
      </c>
    </row>
    <row r="21" spans="1:44" s="1856" customFormat="1" ht="17.25" customHeight="1" hidden="1">
      <c r="A21" s="324"/>
      <c r="C21" s="323"/>
      <c s="2139"/>
      <c s="2168"/>
      <c s="2149"/>
      <c s="2147"/>
      <c s="2152"/>
      <c s="2154"/>
      <c s="2157"/>
      <c s="2141"/>
      <c s="1300"/>
      <c s="1300"/>
      <c s="1300"/>
      <c s="1300"/>
      <c s="1300"/>
      <c s="1300"/>
      <c s="1300"/>
      <c s="332"/>
      <c s="332"/>
      <c s="332"/>
      <c s="332"/>
      <c s="1301"/>
      <c s="1262"/>
      <c s="1262"/>
      <c s="1262"/>
      <c s="1262"/>
      <c s="1262"/>
      <c s="1262"/>
      <c s="1262"/>
      <c s="1262"/>
      <c s="1262"/>
      <c s="1262"/>
      <c s="1262"/>
      <c s="1262"/>
      <c s="1262"/>
      <c s="1262"/>
      <c s="1262"/>
      <c s="1262"/>
      <c s="1262"/>
      <c s="1262"/>
      <c s="1262"/>
      <c s="1262"/>
      <c s="1286">
        <v>0</v>
      </c>
    </row>
    <row r="22" spans="1:44" s="1856" customFormat="1" ht="17.25" customHeight="1" hidden="1">
      <c r="A22" s="324"/>
      <c r="C22" s="323"/>
      <c s="2139"/>
      <c s="2168"/>
      <c s="2150"/>
      <c s="2147"/>
      <c s="1302"/>
      <c s="1303"/>
      <c s="1303"/>
      <c s="1303"/>
      <c s="1303"/>
      <c s="1303"/>
      <c s="1303"/>
      <c s="1303"/>
      <c s="1303"/>
      <c s="1303"/>
      <c s="1303"/>
      <c s="1304"/>
      <c s="1304"/>
      <c s="1304"/>
      <c s="1304"/>
      <c s="1305"/>
      <c s="1262"/>
      <c s="1262"/>
      <c s="1262"/>
      <c s="1262"/>
      <c s="1262"/>
      <c s="1262"/>
      <c s="1262"/>
      <c s="1262"/>
      <c s="1262"/>
      <c s="1262"/>
      <c s="1262"/>
      <c s="1262"/>
      <c s="1262"/>
      <c s="1262"/>
      <c s="1262"/>
      <c s="1262"/>
      <c s="1262"/>
      <c s="1262"/>
      <c s="1262"/>
      <c s="1262"/>
      <c s="1286">
        <v>0</v>
      </c>
    </row>
    <row r="23" spans="1:44" s="1856" customFormat="1" ht="17.25" customHeight="1" hidden="1">
      <c r="A23" s="324"/>
      <c r="C23" s="212"/>
      <c s="2138">
        <v>2</v>
      </c>
      <c s="2146" t="s">
        <v>167</v>
      </c>
      <c s="2148" t="s">
        <v>19</v>
      </c>
      <c s="2146"/>
      <c s="2151"/>
      <c s="2153"/>
      <c s="2155"/>
      <c s="2140"/>
      <c s="2140"/>
      <c s="2140"/>
      <c s="2142"/>
      <c s="2140"/>
      <c s="2140"/>
      <c s="2140"/>
      <c s="2145"/>
      <c s="2140"/>
      <c s="2001"/>
      <c s="2001"/>
      <c s="2003"/>
      <c s="1299"/>
      <c s="1270"/>
      <c s="1270"/>
      <c s="1270"/>
      <c s="1270"/>
      <c s="1270"/>
      <c s="1270" t="s">
        <v>162</v>
      </c>
      <c s="1270" t="s">
        <v>163</v>
      </c>
      <c s="1270" t="s">
        <v>164</v>
      </c>
      <c s="1270" t="s">
        <v>165</v>
      </c>
      <c s="1270" t="s">
        <v>166</v>
      </c>
      <c s="1270" t="str">
        <f>IF($E$23=0,"",$E$23)</f>
        <v>Тарифы на тепловую энергию (мощность), поставляемую теплоснабжающими организациями потребителям, другим теплоснабжающим организациям</v>
      </c>
      <c s="1270" t="str">
        <f>IF($G$23=0,"",$G$23)</f>
        <v/>
      </c>
      <c s="1270" t="str">
        <f>IF($J$23=0,"",$J$23)</f>
        <v/>
      </c>
      <c s="1270" t="str">
        <f>IF($K$23="нет","без дифференциации",IF($N$23=0,"",$N$23))</f>
        <v/>
      </c>
      <c s="1270" t="str">
        <f>IF($O$23="нет","без дифференциации",IF($R$23=0,"",$R$23))</f>
        <v/>
      </c>
      <c s="1270" t="str">
        <f>IF($S$23="нет","без дифференциации",IF($V$23=0,"",$V$23))</f>
        <v/>
      </c>
      <c s="1775">
        <f>$I$23</f>
        <v>0</v>
      </c>
      <c s="1270" t="str">
        <f>$I$23&amp;"."&amp;$M$23</f>
        <v>.</v>
      </c>
      <c s="1269" t="str">
        <f>$I$23&amp;"."&amp;$M$23&amp;"."&amp;$Q$23</f>
        <v>..</v>
      </c>
      <c s="1269" t="str">
        <f>$I$23&amp;"."&amp;$M$23&amp;"."&amp;$Q$23&amp;"."&amp;$U$23</f>
        <v>...</v>
      </c>
      <c s="1470">
        <v>0</v>
      </c>
    </row>
    <row r="24" spans="1:44" s="1856" customFormat="1" ht="17.25" customHeight="1" hidden="1">
      <c r="A24" s="324"/>
      <c r="C24" s="323"/>
      <c s="2138"/>
      <c s="2146"/>
      <c s="2149"/>
      <c s="2146"/>
      <c s="2152"/>
      <c s="2154"/>
      <c s="2156"/>
      <c s="2141"/>
      <c s="2141"/>
      <c s="2141"/>
      <c s="2143"/>
      <c s="2141"/>
      <c s="2141"/>
      <c s="2141"/>
      <c s="2144"/>
      <c s="2141"/>
      <c s="2006"/>
      <c s="2006"/>
      <c s="2006"/>
      <c s="2007"/>
      <c s="1269"/>
      <c s="1269"/>
      <c s="1269"/>
      <c s="1269"/>
      <c s="1269"/>
      <c s="1269"/>
      <c s="1269"/>
      <c s="1269"/>
      <c s="1269"/>
      <c s="1269"/>
      <c s="1269"/>
      <c s="1269"/>
      <c s="1269"/>
      <c s="1269"/>
      <c s="1269"/>
      <c s="1269"/>
      <c s="1269"/>
      <c s="1269"/>
      <c s="1269"/>
      <c s="1269"/>
      <c s="1470">
        <v>0</v>
      </c>
    </row>
    <row r="25" spans="1:44" s="1856" customFormat="1" ht="17.25" customHeight="1" hidden="1">
      <c r="A25" s="324"/>
      <c r="C25" s="323"/>
      <c s="2139"/>
      <c s="2147"/>
      <c s="2149"/>
      <c s="2147"/>
      <c s="2152"/>
      <c s="2154"/>
      <c s="2157"/>
      <c s="2141"/>
      <c s="2141"/>
      <c s="2141"/>
      <c s="2144"/>
      <c s="2141"/>
      <c s="2002"/>
      <c s="2006"/>
      <c s="2006"/>
      <c s="332"/>
      <c s="332"/>
      <c s="332"/>
      <c s="332"/>
      <c s="2007"/>
      <c s="1269"/>
      <c s="1269"/>
      <c s="1269"/>
      <c s="1269"/>
      <c s="1269"/>
      <c s="1269"/>
      <c s="1269"/>
      <c s="1269"/>
      <c s="1269"/>
      <c s="1269"/>
      <c s="1269"/>
      <c s="1269"/>
      <c s="1269"/>
      <c s="1269"/>
      <c s="1269"/>
      <c s="1269"/>
      <c s="1269"/>
      <c s="1269"/>
      <c s="1269"/>
      <c s="1269"/>
      <c s="1470">
        <v>0</v>
      </c>
    </row>
    <row r="26" spans="1:44" s="1856" customFormat="1" ht="17.25" customHeight="1" hidden="1">
      <c r="A26" s="324"/>
      <c r="C26" s="323"/>
      <c s="2139"/>
      <c s="2147"/>
      <c s="2149"/>
      <c s="2147"/>
      <c s="2152"/>
      <c s="2154"/>
      <c s="2157"/>
      <c s="2141"/>
      <c s="2006"/>
      <c s="2006"/>
      <c s="2006"/>
      <c s="2006"/>
      <c s="2006"/>
      <c s="2006"/>
      <c s="2006"/>
      <c s="332"/>
      <c s="332"/>
      <c s="332"/>
      <c s="332"/>
      <c s="2007"/>
      <c s="1269"/>
      <c s="1269"/>
      <c s="1269"/>
      <c s="1269"/>
      <c s="1269"/>
      <c s="1269"/>
      <c s="1269"/>
      <c s="1269"/>
      <c s="1269"/>
      <c s="1269"/>
      <c s="1269"/>
      <c s="1269"/>
      <c s="1269"/>
      <c s="1269"/>
      <c s="1269"/>
      <c s="1269"/>
      <c s="1269"/>
      <c s="1269"/>
      <c s="1269"/>
      <c s="1269"/>
      <c s="1470">
        <v>0</v>
      </c>
    </row>
    <row r="27" spans="1:44" s="1856" customFormat="1" ht="17.25" customHeight="1" hidden="1">
      <c r="A27" s="324"/>
      <c r="C27" s="323"/>
      <c s="2139"/>
      <c s="2147"/>
      <c s="2150"/>
      <c s="2147"/>
      <c s="1302"/>
      <c s="2004"/>
      <c s="2004"/>
      <c s="2004"/>
      <c s="2004"/>
      <c s="2004"/>
      <c s="2004"/>
      <c s="2004"/>
      <c s="2004"/>
      <c s="2004"/>
      <c s="2004"/>
      <c s="1304"/>
      <c s="1304"/>
      <c s="1304"/>
      <c s="1304"/>
      <c s="2005"/>
      <c s="1269"/>
      <c s="1269"/>
      <c s="1269"/>
      <c s="1269"/>
      <c s="1269"/>
      <c s="1269"/>
      <c s="1269"/>
      <c s="1269"/>
      <c s="1269"/>
      <c s="1269"/>
      <c s="1269"/>
      <c s="1269"/>
      <c s="1269"/>
      <c s="1269"/>
      <c s="1269"/>
      <c s="1269"/>
      <c s="1269"/>
      <c s="1269"/>
      <c s="1269"/>
      <c s="1269"/>
      <c s="1470">
        <v>0</v>
      </c>
    </row>
    <row r="28" spans="1:44" s="1856" customFormat="1" ht="17.25" customHeight="1" hidden="1">
      <c r="A28" s="324"/>
      <c r="C28" s="212"/>
      <c s="2138">
        <v>3</v>
      </c>
      <c s="2146" t="s">
        <v>168</v>
      </c>
      <c s="2148" t="s">
        <v>19</v>
      </c>
      <c s="2146"/>
      <c s="2151"/>
      <c s="2153"/>
      <c s="2155"/>
      <c s="2140"/>
      <c s="2140"/>
      <c s="2140"/>
      <c s="2142"/>
      <c s="2140"/>
      <c s="2140"/>
      <c s="2140"/>
      <c s="2145"/>
      <c s="2140"/>
      <c s="1423"/>
      <c s="1423"/>
      <c s="1422"/>
      <c s="1299"/>
      <c s="1270"/>
      <c s="1270"/>
      <c s="1270"/>
      <c s="1270"/>
      <c s="1270"/>
      <c s="1270" t="s">
        <v>169</v>
      </c>
      <c s="1270" t="s">
        <v>170</v>
      </c>
      <c s="1270" t="s">
        <v>171</v>
      </c>
      <c s="1270" t="s">
        <v>172</v>
      </c>
      <c s="1270" t="s">
        <v>173</v>
      </c>
      <c s="1270" t="str">
        <f>IF($E$28=0,"",$E$28)</f>
        <v>Тарифы на теплоноситель, поставляемый теплоснабжающими организациями потребителям, другим теплоснабжающим организациям</v>
      </c>
      <c s="1270" t="str">
        <f>IF($G$28=0,"",$G$28)</f>
        <v/>
      </c>
      <c s="1270" t="str">
        <f>IF($J$28=0,"",$J$28)</f>
        <v/>
      </c>
      <c s="1270" t="str">
        <f>IF($K$28="нет","без дифференциации",IF($N$28=0,"",$N$28))</f>
        <v/>
      </c>
      <c s="1270" t="str">
        <f>IF($O$28="нет","без дифференциации",IF($R$28=0,"",$R$28))</f>
        <v/>
      </c>
      <c s="1270" t="str">
        <f>IF($S$28="нет","без дифференциации",IF($V$28=0,"",$V$28))</f>
        <v/>
      </c>
      <c s="1775">
        <f>$I$28</f>
        <v>0</v>
      </c>
      <c s="1270" t="str">
        <f>$I$28&amp;"."&amp;$M$28</f>
        <v>.</v>
      </c>
      <c s="1262" t="str">
        <f>$I$28&amp;"."&amp;$M$28&amp;"."&amp;$Q$28</f>
        <v>..</v>
      </c>
      <c s="1262" t="str">
        <f>$I$28&amp;"."&amp;$M$28&amp;"."&amp;$Q$28&amp;"."&amp;$U$28</f>
        <v>...</v>
      </c>
      <c s="1286">
        <v>0</v>
      </c>
    </row>
    <row r="29" spans="1:44" s="1856" customFormat="1" ht="17.25" customHeight="1" hidden="1">
      <c r="A29" s="324"/>
      <c r="C29" s="323"/>
      <c s="2138"/>
      <c s="2146"/>
      <c s="2149"/>
      <c s="2146"/>
      <c s="2152"/>
      <c s="2154"/>
      <c s="2156"/>
      <c s="2141"/>
      <c s="2141"/>
      <c s="2141"/>
      <c s="2143"/>
      <c s="2141"/>
      <c s="2141"/>
      <c s="2141"/>
      <c s="2144"/>
      <c s="2141"/>
      <c s="1300"/>
      <c s="1300"/>
      <c s="1300"/>
      <c s="1301"/>
      <c s="1262"/>
      <c s="1262"/>
      <c s="1262"/>
      <c s="1262"/>
      <c s="1262"/>
      <c s="1262"/>
      <c s="1262"/>
      <c s="1262"/>
      <c s="1262"/>
      <c s="1262"/>
      <c s="1262"/>
      <c s="1262"/>
      <c s="1262"/>
      <c s="1262"/>
      <c s="1262"/>
      <c s="1262"/>
      <c s="1262"/>
      <c s="1262"/>
      <c s="1262"/>
      <c s="1262"/>
      <c s="1286">
        <v>0</v>
      </c>
    </row>
    <row r="30" spans="1:44" s="1856" customFormat="1" ht="17.25" customHeight="1" hidden="1">
      <c r="A30" s="324"/>
      <c r="C30" s="323"/>
      <c s="2139"/>
      <c s="2147"/>
      <c s="2149"/>
      <c s="2147"/>
      <c s="2152"/>
      <c s="2154"/>
      <c s="2157"/>
      <c s="2141"/>
      <c s="2141"/>
      <c s="2141"/>
      <c s="2144"/>
      <c s="2141"/>
      <c s="1421"/>
      <c s="1300"/>
      <c s="1300"/>
      <c s="332"/>
      <c s="332"/>
      <c s="332"/>
      <c s="332"/>
      <c s="1301"/>
      <c s="1262"/>
      <c s="1262"/>
      <c s="1262"/>
      <c s="1262"/>
      <c s="1262"/>
      <c s="1262"/>
      <c s="1262"/>
      <c s="1262"/>
      <c s="1262"/>
      <c s="1262"/>
      <c s="1262"/>
      <c s="1262"/>
      <c s="1262"/>
      <c s="1262"/>
      <c s="1262"/>
      <c s="1262"/>
      <c s="1262"/>
      <c s="1262"/>
      <c s="1262"/>
      <c s="1262"/>
      <c s="1286">
        <v>0</v>
      </c>
    </row>
    <row r="31" spans="1:44" s="1856" customFormat="1" ht="17.25" customHeight="1" hidden="1">
      <c r="A31" s="324"/>
      <c r="C31" s="323"/>
      <c s="2139"/>
      <c s="2147"/>
      <c s="2149"/>
      <c s="2147"/>
      <c s="2152"/>
      <c s="2154"/>
      <c s="2157"/>
      <c s="2141"/>
      <c s="1300"/>
      <c s="1300"/>
      <c s="1300"/>
      <c s="1300"/>
      <c s="1300"/>
      <c s="1300"/>
      <c s="1300"/>
      <c s="332"/>
      <c s="332"/>
      <c s="332"/>
      <c s="332"/>
      <c s="1301"/>
      <c s="1262"/>
      <c s="1262"/>
      <c s="1262"/>
      <c s="1262"/>
      <c s="1262"/>
      <c s="1262"/>
      <c s="1262"/>
      <c s="1262"/>
      <c s="1262"/>
      <c s="1262"/>
      <c s="1262"/>
      <c s="1262"/>
      <c s="1262"/>
      <c s="1262"/>
      <c s="1262"/>
      <c s="1262"/>
      <c s="1262"/>
      <c s="1262"/>
      <c s="1262"/>
      <c s="1262"/>
      <c s="1286">
        <v>0</v>
      </c>
    </row>
    <row r="32" spans="1:44" s="1856" customFormat="1" ht="17.25" customHeight="1" hidden="1">
      <c r="A32" s="324"/>
      <c r="C32" s="323"/>
      <c s="2139"/>
      <c s="2147"/>
      <c s="2150"/>
      <c s="2147"/>
      <c s="1302"/>
      <c s="1303"/>
      <c s="1303"/>
      <c s="1303"/>
      <c s="1303"/>
      <c s="1303"/>
      <c s="1303"/>
      <c s="1303"/>
      <c s="1303"/>
      <c s="1303"/>
      <c s="1303"/>
      <c s="1304"/>
      <c s="1304"/>
      <c s="1304"/>
      <c s="1304"/>
      <c s="1305"/>
      <c s="1262"/>
      <c s="1262"/>
      <c s="1262"/>
      <c s="1262"/>
      <c s="1262"/>
      <c s="1262"/>
      <c s="1262"/>
      <c s="1262"/>
      <c s="1262"/>
      <c s="1262"/>
      <c s="1262"/>
      <c s="1262"/>
      <c s="1262"/>
      <c s="1262"/>
      <c s="1262"/>
      <c s="1262"/>
      <c s="1262"/>
      <c s="1262"/>
      <c s="1262"/>
      <c s="1262"/>
      <c s="1286">
        <v>0</v>
      </c>
    </row>
    <row r="33" spans="1:44" s="1856" customFormat="1" ht="17.25" customHeight="1" hidden="1">
      <c r="A33" s="324"/>
      <c r="C33" s="212"/>
      <c s="2138">
        <v>4</v>
      </c>
      <c s="2146" t="s">
        <v>174</v>
      </c>
      <c s="2148" t="s">
        <v>19</v>
      </c>
      <c s="2146"/>
      <c s="2151"/>
      <c s="2153"/>
      <c s="2155"/>
      <c s="2140"/>
      <c s="2140"/>
      <c s="2140"/>
      <c s="2142"/>
      <c s="2140"/>
      <c s="2140"/>
      <c s="2140"/>
      <c s="2145"/>
      <c s="2140"/>
      <c s="1423"/>
      <c s="1423"/>
      <c s="1422"/>
      <c s="1299"/>
      <c s="1270"/>
      <c s="1270"/>
      <c s="1270"/>
      <c s="1270"/>
      <c s="1270"/>
      <c s="1270" t="s">
        <v>175</v>
      </c>
      <c s="1270" t="s">
        <v>176</v>
      </c>
      <c s="1270" t="s">
        <v>177</v>
      </c>
      <c s="1270" t="s">
        <v>178</v>
      </c>
      <c s="1270" t="s">
        <v>179</v>
      </c>
      <c s="1270" t="str">
        <f>IF($E$33=0,"",$E$33)</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s="1270" t="str">
        <f>IF($G$33=0,"",$G$33)</f>
        <v/>
      </c>
      <c s="1270" t="str">
        <f>IF($J$33=0,"",$J$33)</f>
        <v/>
      </c>
      <c s="1270" t="str">
        <f>IF($K$33="нет","без дифференциации",IF($N$33=0,"",$N$33))</f>
        <v/>
      </c>
      <c s="1270" t="str">
        <f>IF($O$33="нет","без дифференциации",IF($R$33=0,"",$R$33))</f>
        <v/>
      </c>
      <c s="1270" t="str">
        <f>IF($S$33="нет","без дифференциации",IF($V$33=0,"",$V$33))</f>
        <v/>
      </c>
      <c s="1775">
        <f>$I$33</f>
        <v>0</v>
      </c>
      <c s="1270" t="str">
        <f>$I$33&amp;"."&amp;$M$33</f>
        <v>.</v>
      </c>
      <c s="1262" t="str">
        <f>$I$33&amp;"."&amp;$M$33&amp;"."&amp;$Q$33</f>
        <v>..</v>
      </c>
      <c s="1262" t="str">
        <f>$I$33&amp;"."&amp;$M$33&amp;"."&amp;$Q$33&amp;"."&amp;$U$33</f>
        <v>...</v>
      </c>
      <c s="1286">
        <v>0</v>
      </c>
    </row>
    <row r="34" spans="1:44" s="1856" customFormat="1" ht="17.25" customHeight="1" hidden="1">
      <c r="A34" s="324"/>
      <c r="C34" s="323"/>
      <c s="2138"/>
      <c s="2146"/>
      <c s="2149"/>
      <c s="2146"/>
      <c s="2152"/>
      <c s="2154"/>
      <c s="2156"/>
      <c s="2141"/>
      <c s="2141"/>
      <c s="2141"/>
      <c s="2143"/>
      <c s="2141"/>
      <c s="2141"/>
      <c s="2141"/>
      <c s="2144"/>
      <c s="2141"/>
      <c s="1300"/>
      <c s="1300"/>
      <c s="1300"/>
      <c s="1301"/>
      <c s="1262"/>
      <c s="1262"/>
      <c s="1262"/>
      <c s="1262"/>
      <c s="1262"/>
      <c s="1262"/>
      <c s="1262"/>
      <c s="1262"/>
      <c s="1262"/>
      <c s="1262"/>
      <c s="1262"/>
      <c s="1262"/>
      <c s="1262"/>
      <c s="1262"/>
      <c s="1262"/>
      <c s="1262"/>
      <c s="1262"/>
      <c s="1262"/>
      <c s="1262"/>
      <c s="1262"/>
      <c s="1286">
        <v>0</v>
      </c>
    </row>
    <row r="35" spans="1:44" s="1856" customFormat="1" ht="17.25" customHeight="1" hidden="1">
      <c r="A35" s="324"/>
      <c r="C35" s="323"/>
      <c s="2139"/>
      <c s="2147"/>
      <c s="2149"/>
      <c s="2147"/>
      <c s="2152"/>
      <c s="2154"/>
      <c s="2157"/>
      <c s="2141"/>
      <c s="2141"/>
      <c s="2141"/>
      <c s="2144"/>
      <c s="2141"/>
      <c s="1421"/>
      <c s="1300"/>
      <c s="1300"/>
      <c s="332"/>
      <c s="332"/>
      <c s="332"/>
      <c s="332"/>
      <c s="1301"/>
      <c s="1262"/>
      <c s="1262"/>
      <c s="1262"/>
      <c s="1262"/>
      <c s="1262"/>
      <c s="1262"/>
      <c s="1262"/>
      <c s="1262"/>
      <c s="1262"/>
      <c s="1262"/>
      <c s="1262"/>
      <c s="1262"/>
      <c s="1262"/>
      <c s="1262"/>
      <c s="1262"/>
      <c s="1262"/>
      <c s="1262"/>
      <c s="1262"/>
      <c s="1262"/>
      <c s="1262"/>
      <c s="1286">
        <v>0</v>
      </c>
    </row>
    <row r="36" spans="1:44" s="1856" customFormat="1" ht="17.25" customHeight="1" hidden="1">
      <c r="A36" s="324"/>
      <c r="C36" s="323"/>
      <c s="2139"/>
      <c s="2147"/>
      <c s="2149"/>
      <c s="2147"/>
      <c s="2152"/>
      <c s="2154"/>
      <c s="2157"/>
      <c s="2141"/>
      <c s="1300"/>
      <c s="1300"/>
      <c s="1300"/>
      <c s="1300"/>
      <c s="1300"/>
      <c s="1300"/>
      <c s="1300"/>
      <c s="332"/>
      <c s="332"/>
      <c s="332"/>
      <c s="332"/>
      <c s="1301"/>
      <c s="1262"/>
      <c s="1262"/>
      <c s="1262"/>
      <c s="1262"/>
      <c s="1262"/>
      <c s="1262"/>
      <c s="1262"/>
      <c s="1262"/>
      <c s="1262"/>
      <c s="1262"/>
      <c s="1262"/>
      <c s="1262"/>
      <c s="1262"/>
      <c s="1262"/>
      <c s="1262"/>
      <c s="1262"/>
      <c s="1262"/>
      <c s="1262"/>
      <c s="1262"/>
      <c s="1262"/>
      <c s="1286">
        <v>0</v>
      </c>
    </row>
    <row r="37" spans="1:44" s="1856" customFormat="1" ht="17.25" customHeight="1" hidden="1">
      <c r="A37" s="324"/>
      <c r="C37" s="323"/>
      <c s="2139"/>
      <c s="2147"/>
      <c s="2150"/>
      <c s="2147"/>
      <c s="1302"/>
      <c s="1303"/>
      <c s="1303"/>
      <c s="1303"/>
      <c s="1303"/>
      <c s="1303"/>
      <c s="1303"/>
      <c s="1303"/>
      <c s="1303"/>
      <c s="1303"/>
      <c s="1303"/>
      <c s="1304"/>
      <c s="1304"/>
      <c s="1304"/>
      <c s="1304"/>
      <c s="1305"/>
      <c s="1262"/>
      <c s="1262"/>
      <c s="1262"/>
      <c s="1262"/>
      <c s="1262"/>
      <c s="1262"/>
      <c s="1262"/>
      <c s="1262"/>
      <c s="1262"/>
      <c s="1262"/>
      <c s="1262"/>
      <c s="1262"/>
      <c s="1262"/>
      <c s="1262"/>
      <c s="1262"/>
      <c s="1262"/>
      <c s="1262"/>
      <c s="1262"/>
      <c s="1262"/>
      <c s="1262"/>
      <c s="1286">
        <v>0</v>
      </c>
    </row>
    <row r="38" spans="1:44" s="1856" customFormat="1" ht="17.25" customHeight="1" hidden="1">
      <c r="A38" s="324"/>
      <c r="C38" s="212"/>
      <c s="2138">
        <v>5</v>
      </c>
      <c s="2146" t="s">
        <v>180</v>
      </c>
      <c s="2148" t="s">
        <v>19</v>
      </c>
      <c s="2146"/>
      <c s="2151"/>
      <c s="2153"/>
      <c s="2155"/>
      <c s="2140"/>
      <c s="2140"/>
      <c s="2140"/>
      <c s="2142"/>
      <c s="2140"/>
      <c s="2140"/>
      <c s="2140"/>
      <c s="2145"/>
      <c s="2140"/>
      <c s="1423"/>
      <c s="1423"/>
      <c s="1422"/>
      <c s="1299"/>
      <c s="1270"/>
      <c s="1270"/>
      <c s="1270"/>
      <c s="1270"/>
      <c s="1270"/>
      <c s="1270" t="s">
        <v>181</v>
      </c>
      <c s="1270" t="s">
        <v>182</v>
      </c>
      <c s="1270" t="s">
        <v>183</v>
      </c>
      <c s="1270" t="s">
        <v>184</v>
      </c>
      <c s="1270" t="s">
        <v>185</v>
      </c>
      <c s="1270" t="str">
        <f>IF($E$38=0,"",$E$38)</f>
        <v>Тарифы на услуги по передаче тепловой энергии</v>
      </c>
      <c s="1270" t="str">
        <f>IF($G$38=0,"",$G$38)</f>
        <v/>
      </c>
      <c s="1270" t="str">
        <f>IF($J$38=0,"",$J$38)</f>
        <v/>
      </c>
      <c s="1270" t="str">
        <f>IF($K$38="нет","без дифференциации",IF($N$38=0,"",$N$38))</f>
        <v/>
      </c>
      <c s="1270" t="str">
        <f>IF($O$38="нет","без дифференциации",IF($R$38=0,"",$R$38))</f>
        <v/>
      </c>
      <c s="1270" t="str">
        <f>IF($S$38="нет","без дифференциации",IF($V$38=0,"",$V$38))</f>
        <v/>
      </c>
      <c s="1775">
        <f>$I$38</f>
        <v>0</v>
      </c>
      <c s="1270" t="str">
        <f>$I$38&amp;"."&amp;$M$38</f>
        <v>.</v>
      </c>
      <c s="1262" t="str">
        <f>$I$38&amp;"."&amp;$M$38&amp;"."&amp;$Q$38</f>
        <v>..</v>
      </c>
      <c s="1262" t="str">
        <f>$I$38&amp;"."&amp;$M$38&amp;"."&amp;$Q$38&amp;"."&amp;$U$38</f>
        <v>...</v>
      </c>
      <c s="1286">
        <v>0</v>
      </c>
    </row>
    <row r="39" spans="1:44" s="1856" customFormat="1" ht="17.25" customHeight="1" hidden="1">
      <c r="A39" s="324"/>
      <c r="C39" s="323"/>
      <c s="2138"/>
      <c s="2146"/>
      <c s="2149"/>
      <c s="2146"/>
      <c s="2152"/>
      <c s="2154"/>
      <c s="2156"/>
      <c s="2141"/>
      <c s="2141"/>
      <c s="2141"/>
      <c s="2143"/>
      <c s="2141"/>
      <c s="2141"/>
      <c s="2141"/>
      <c s="2144"/>
      <c s="2141"/>
      <c s="1300"/>
      <c s="1300"/>
      <c s="1300"/>
      <c s="1301"/>
      <c s="1262"/>
      <c s="1262"/>
      <c s="1262"/>
      <c s="1262"/>
      <c s="1262"/>
      <c s="1262"/>
      <c s="1262"/>
      <c s="1262"/>
      <c s="1262"/>
      <c s="1262"/>
      <c s="1262"/>
      <c s="1262"/>
      <c s="1262"/>
      <c s="1262"/>
      <c s="1262"/>
      <c s="1262"/>
      <c s="1262"/>
      <c s="1262"/>
      <c s="1262"/>
      <c s="1262"/>
      <c s="1286">
        <v>0</v>
      </c>
    </row>
    <row r="40" spans="1:44" s="1856" customFormat="1" ht="17.25" customHeight="1" hidden="1">
      <c r="A40" s="324"/>
      <c r="C40" s="323"/>
      <c s="2139"/>
      <c s="2147"/>
      <c s="2149"/>
      <c s="2147"/>
      <c s="2152"/>
      <c s="2154"/>
      <c s="2157"/>
      <c s="2141"/>
      <c s="2141"/>
      <c s="2141"/>
      <c s="2144"/>
      <c s="2141"/>
      <c s="1421"/>
      <c s="1300"/>
      <c s="1300"/>
      <c s="332"/>
      <c s="332"/>
      <c s="332"/>
      <c s="332"/>
      <c s="1301"/>
      <c s="1262"/>
      <c s="1262"/>
      <c s="1262"/>
      <c s="1262"/>
      <c s="1262"/>
      <c s="1262"/>
      <c s="1262"/>
      <c s="1262"/>
      <c s="1262"/>
      <c s="1262"/>
      <c s="1262"/>
      <c s="1262"/>
      <c s="1262"/>
      <c s="1262"/>
      <c s="1262"/>
      <c s="1262"/>
      <c s="1262"/>
      <c s="1262"/>
      <c s="1262"/>
      <c s="1262"/>
      <c s="1286">
        <v>0</v>
      </c>
    </row>
    <row r="41" spans="1:44" s="1856" customFormat="1" ht="17.25" customHeight="1" hidden="1">
      <c r="A41" s="324"/>
      <c r="C41" s="323"/>
      <c s="2139"/>
      <c s="2147"/>
      <c s="2149"/>
      <c s="2147"/>
      <c s="2152"/>
      <c s="2154"/>
      <c s="2157"/>
      <c s="2141"/>
      <c s="1300"/>
      <c s="1300"/>
      <c s="1300"/>
      <c s="1300"/>
      <c s="1300"/>
      <c s="1300"/>
      <c s="1300"/>
      <c s="332"/>
      <c s="332"/>
      <c s="332"/>
      <c s="332"/>
      <c s="1301"/>
      <c s="1262"/>
      <c s="1262"/>
      <c s="1262"/>
      <c s="1262"/>
      <c s="1262"/>
      <c s="1262"/>
      <c s="1262"/>
      <c s="1262"/>
      <c s="1262"/>
      <c s="1262"/>
      <c s="1262"/>
      <c s="1262"/>
      <c s="1262"/>
      <c s="1262"/>
      <c s="1262"/>
      <c s="1262"/>
      <c s="1262"/>
      <c s="1262"/>
      <c s="1262"/>
      <c s="1262"/>
      <c s="1286">
        <v>0</v>
      </c>
    </row>
    <row r="42" spans="1:44" s="1856" customFormat="1" ht="17.25" customHeight="1" hidden="1">
      <c r="A42" s="324"/>
      <c r="C42" s="323"/>
      <c s="2139"/>
      <c s="2147"/>
      <c s="2150"/>
      <c s="2147"/>
      <c s="1302"/>
      <c s="1303"/>
      <c s="1303"/>
      <c s="1303"/>
      <c s="1303"/>
      <c s="1303"/>
      <c s="1303"/>
      <c s="1303"/>
      <c s="1303"/>
      <c s="1303"/>
      <c s="1303"/>
      <c s="1304"/>
      <c s="1304"/>
      <c s="1304"/>
      <c s="1304"/>
      <c s="1305"/>
      <c s="1262"/>
      <c s="1262"/>
      <c s="1262"/>
      <c s="1262"/>
      <c s="1262"/>
      <c s="1262"/>
      <c s="1262"/>
      <c s="1262"/>
      <c s="1262"/>
      <c s="1262"/>
      <c s="1262"/>
      <c s="1262"/>
      <c s="1262"/>
      <c s="1262"/>
      <c s="1262"/>
      <c s="1262"/>
      <c s="1262"/>
      <c s="1262"/>
      <c s="1262"/>
      <c s="1262"/>
      <c s="1286">
        <v>0</v>
      </c>
    </row>
    <row r="43" spans="1:44" s="1856" customFormat="1" ht="17.25" customHeight="1" hidden="1">
      <c r="A43" s="324"/>
      <c r="C43" s="212"/>
      <c s="2138">
        <v>6</v>
      </c>
      <c s="2146" t="s">
        <v>186</v>
      </c>
      <c s="2148" t="s">
        <v>19</v>
      </c>
      <c s="2146"/>
      <c s="2151"/>
      <c s="2153"/>
      <c s="2155"/>
      <c s="2140"/>
      <c s="2140"/>
      <c s="2140"/>
      <c s="2142"/>
      <c s="2140"/>
      <c s="2140"/>
      <c s="2140"/>
      <c s="2145"/>
      <c s="2140"/>
      <c s="1423"/>
      <c s="1423"/>
      <c s="1422"/>
      <c s="1299"/>
      <c s="1270"/>
      <c s="1270"/>
      <c s="1270"/>
      <c s="1270"/>
      <c s="1270"/>
      <c s="1270" t="s">
        <v>187</v>
      </c>
      <c s="1270" t="s">
        <v>188</v>
      </c>
      <c s="1270" t="s">
        <v>189</v>
      </c>
      <c s="1270" t="s">
        <v>190</v>
      </c>
      <c s="1270" t="s">
        <v>191</v>
      </c>
      <c s="1270" t="str">
        <f>IF($E$43=0,"",$E$43)</f>
        <v>Тарифы на услуги по передаче теплоносителя</v>
      </c>
      <c s="1270" t="str">
        <f>IF($G$43=0,"",$G$43)</f>
        <v/>
      </c>
      <c s="1270" t="str">
        <f>IF($J$43=0,"",$J$43)</f>
        <v/>
      </c>
      <c s="1270" t="str">
        <f>IF($K$43="нет","без дифференциации",IF($N$43=0,"",$N$43))</f>
        <v/>
      </c>
      <c s="1270" t="str">
        <f>IF($O$43="нет","без дифференциации",IF($R$43=0,"",$R$43))</f>
        <v/>
      </c>
      <c s="1270" t="str">
        <f>IF($S$43="нет","без дифференциации",IF($V$43=0,"",$V$43))</f>
        <v/>
      </c>
      <c s="1775">
        <f>$I$43</f>
        <v>0</v>
      </c>
      <c s="1270" t="str">
        <f>$I$43&amp;"."&amp;$M$43</f>
        <v>.</v>
      </c>
      <c s="1262" t="str">
        <f>$I$43&amp;"."&amp;$M$43&amp;"."&amp;$Q$43</f>
        <v>..</v>
      </c>
      <c s="1262" t="str">
        <f>$I$43&amp;"."&amp;$M$43&amp;"."&amp;$Q$43&amp;"."&amp;$U$43</f>
        <v>...</v>
      </c>
      <c s="1286">
        <v>0</v>
      </c>
    </row>
    <row r="44" spans="1:44" s="1856" customFormat="1" ht="17.25" customHeight="1" hidden="1">
      <c r="A44" s="324"/>
      <c r="C44" s="323"/>
      <c s="2138"/>
      <c s="2146"/>
      <c s="2149"/>
      <c s="2146"/>
      <c s="2152"/>
      <c s="2154"/>
      <c s="2156"/>
      <c s="2141"/>
      <c s="2141"/>
      <c s="2141"/>
      <c s="2143"/>
      <c s="2141"/>
      <c s="2141"/>
      <c s="2141"/>
      <c s="2144"/>
      <c s="2141"/>
      <c s="1300"/>
      <c s="1300"/>
      <c s="1300"/>
      <c s="1301"/>
      <c s="1262"/>
      <c s="1262"/>
      <c s="1262"/>
      <c s="1262"/>
      <c s="1262"/>
      <c s="1262"/>
      <c s="1262"/>
      <c s="1262"/>
      <c s="1262"/>
      <c s="1262"/>
      <c s="1262"/>
      <c s="1262"/>
      <c s="1262"/>
      <c s="1262"/>
      <c s="1262"/>
      <c s="1262"/>
      <c s="1262"/>
      <c s="1262"/>
      <c s="1262"/>
      <c s="1262"/>
      <c s="1286">
        <v>0</v>
      </c>
    </row>
    <row r="45" spans="1:44" s="1856" customFormat="1" ht="17.25" customHeight="1" hidden="1">
      <c r="A45" s="324"/>
      <c r="C45" s="323"/>
      <c s="2139"/>
      <c s="2147"/>
      <c s="2149"/>
      <c s="2147"/>
      <c s="2152"/>
      <c s="2154"/>
      <c s="2157"/>
      <c s="2141"/>
      <c s="2141"/>
      <c s="2141"/>
      <c s="2144"/>
      <c s="2141"/>
      <c s="1421"/>
      <c s="1300"/>
      <c s="1300"/>
      <c s="332"/>
      <c s="332"/>
      <c s="332"/>
      <c s="332"/>
      <c s="1301"/>
      <c s="1262"/>
      <c s="1262"/>
      <c s="1262"/>
      <c s="1262"/>
      <c s="1262"/>
      <c s="1262"/>
      <c s="1262"/>
      <c s="1262"/>
      <c s="1262"/>
      <c s="1262"/>
      <c s="1262"/>
      <c s="1262"/>
      <c s="1262"/>
      <c s="1262"/>
      <c s="1262"/>
      <c s="1262"/>
      <c s="1262"/>
      <c s="1262"/>
      <c s="1262"/>
      <c s="1262"/>
      <c s="1286">
        <v>0</v>
      </c>
    </row>
    <row r="46" spans="1:44" s="1856" customFormat="1" ht="17.25" customHeight="1" hidden="1">
      <c r="A46" s="324"/>
      <c r="C46" s="212"/>
      <c s="2139"/>
      <c s="2147"/>
      <c s="2149"/>
      <c s="2147"/>
      <c s="2152"/>
      <c s="2154"/>
      <c s="2157"/>
      <c s="2141"/>
      <c s="1300"/>
      <c s="1300"/>
      <c s="1300"/>
      <c s="1300"/>
      <c s="1300"/>
      <c s="1300"/>
      <c s="1300"/>
      <c s="332"/>
      <c s="332"/>
      <c s="332"/>
      <c s="332"/>
      <c s="1301"/>
      <c r="Y46" s="1270"/>
      <c s="1270"/>
      <c s="1270"/>
      <c s="1270"/>
      <c s="1270"/>
      <c s="1270"/>
      <c s="1270"/>
      <c s="1270"/>
      <c s="1270"/>
      <c s="1270"/>
      <c s="1270"/>
      <c s="1270"/>
      <c s="1270"/>
      <c s="1270"/>
      <c s="1270"/>
      <c s="1270"/>
      <c s="1270"/>
      <c s="1270"/>
      <c s="1270"/>
      <c s="1329">
        <v>0</v>
      </c>
    </row>
    <row r="47" spans="1:44" s="1856" customFormat="1" ht="17.25" customHeight="1" hidden="1">
      <c r="A47" s="324"/>
      <c r="C47" s="323"/>
      <c s="2139"/>
      <c s="2147"/>
      <c s="2150"/>
      <c s="2147"/>
      <c s="1302"/>
      <c s="1303"/>
      <c s="1303"/>
      <c s="1303"/>
      <c s="1303"/>
      <c s="1303"/>
      <c s="1303"/>
      <c s="1303"/>
      <c s="1303"/>
      <c s="1303"/>
      <c s="1303"/>
      <c s="1304"/>
      <c s="1304"/>
      <c s="1304"/>
      <c s="1304"/>
      <c s="1305"/>
      <c s="1262"/>
      <c s="1262"/>
      <c s="1262"/>
      <c s="1262"/>
      <c s="1262"/>
      <c s="1262"/>
      <c s="1262"/>
      <c s="1262"/>
      <c s="1262"/>
      <c s="1262"/>
      <c s="1262"/>
      <c s="1262"/>
      <c s="1262"/>
      <c s="1262"/>
      <c s="1262"/>
      <c s="1262"/>
      <c s="1262"/>
      <c s="1262"/>
      <c s="1262"/>
      <c s="1262"/>
      <c s="1286">
        <v>0</v>
      </c>
    </row>
    <row r="48" spans="1:44" s="1856" customFormat="1" ht="17.25" customHeight="1" hidden="1">
      <c r="A48" s="324"/>
      <c r="C48" s="212"/>
      <c s="2169">
        <v>7</v>
      </c>
      <c s="2172" t="s">
        <v>192</v>
      </c>
      <c s="2148" t="s">
        <v>19</v>
      </c>
      <c s="2172"/>
      <c s="2151"/>
      <c s="2153"/>
      <c s="2155"/>
      <c s="2140"/>
      <c s="2140"/>
      <c s="2140"/>
      <c s="2142"/>
      <c s="2140"/>
      <c s="2140"/>
      <c s="2140"/>
      <c s="2145"/>
      <c s="2140"/>
      <c s="1423"/>
      <c s="1423"/>
      <c s="1422"/>
      <c s="1299"/>
      <c s="1270"/>
      <c s="1270"/>
      <c s="1270"/>
      <c s="1270"/>
      <c s="1270"/>
      <c s="1270" t="s">
        <v>193</v>
      </c>
      <c s="1270" t="s">
        <v>194</v>
      </c>
      <c s="1270" t="s">
        <v>195</v>
      </c>
      <c s="1270" t="s">
        <v>196</v>
      </c>
      <c s="1270" t="s">
        <v>197</v>
      </c>
      <c s="1270" t="str">
        <f>IF($E$48=0,"",$E$48)</f>
        <v>Плата за услуги по поддержанию резервной тепловой мощности при отсутствии потребления тепловой энергии</v>
      </c>
      <c s="1270" t="str">
        <f>IF($G$48=0,"",$G$48)</f>
        <v/>
      </c>
      <c s="1270" t="str">
        <f>IF($J$48=0,"",$J$48)</f>
        <v/>
      </c>
      <c s="1270" t="str">
        <f>IF($K$48="нет","без дифференциации",IF($N$48=0,"",$N$48))</f>
        <v/>
      </c>
      <c s="1270" t="str">
        <f>IF($O$48="нет","без дифференциации",IF($R$48=0,"",$R$48))</f>
        <v/>
      </c>
      <c s="1270" t="str">
        <f>IF($S$48="нет","без дифференциации",IF($V$48=0,"",$V$48))</f>
        <v/>
      </c>
      <c s="1775">
        <f>$I$48</f>
        <v>0</v>
      </c>
      <c s="1270" t="str">
        <f>$I$48&amp;"."&amp;$M$48</f>
        <v>.</v>
      </c>
      <c s="1262" t="str">
        <f>$I$48&amp;"."&amp;$M$48&amp;"."&amp;$Q$48</f>
        <v>..</v>
      </c>
      <c s="1262" t="str">
        <f>$I$48&amp;"."&amp;$M$48&amp;"."&amp;$Q$48&amp;"."&amp;$U$48</f>
        <v>...</v>
      </c>
      <c s="1311">
        <v>0</v>
      </c>
    </row>
    <row r="49" spans="1:44" s="1856" customFormat="1" ht="17.25" customHeight="1" hidden="1">
      <c r="A49" s="324"/>
      <c r="C49" s="323"/>
      <c s="2170"/>
      <c s="2173"/>
      <c s="2149"/>
      <c s="2173"/>
      <c s="2152"/>
      <c s="2154"/>
      <c s="2156"/>
      <c s="2141"/>
      <c s="2141"/>
      <c s="2141"/>
      <c s="2143"/>
      <c s="2141"/>
      <c s="2141"/>
      <c s="2141"/>
      <c s="2144"/>
      <c s="2141"/>
      <c s="1300"/>
      <c s="1300"/>
      <c s="1300"/>
      <c s="1301"/>
      <c s="1262"/>
      <c s="1262"/>
      <c s="1262"/>
      <c s="1262"/>
      <c s="1262"/>
      <c s="1262"/>
      <c s="1262"/>
      <c s="1262"/>
      <c s="1262"/>
      <c s="1262"/>
      <c s="1262"/>
      <c s="1262"/>
      <c s="1262"/>
      <c s="1262"/>
      <c s="1262"/>
      <c s="1262"/>
      <c s="1262"/>
      <c s="1262"/>
      <c s="1262"/>
      <c s="1262"/>
      <c s="1311">
        <v>0</v>
      </c>
    </row>
    <row r="50" spans="1:44" s="1856" customFormat="1" ht="17.25" customHeight="1" hidden="1">
      <c r="A50" s="324"/>
      <c r="C50" s="323"/>
      <c s="2170"/>
      <c s="2173"/>
      <c s="2149"/>
      <c s="2173"/>
      <c s="2152"/>
      <c s="2154"/>
      <c s="2157"/>
      <c s="2141"/>
      <c s="2141"/>
      <c s="2141"/>
      <c s="2144"/>
      <c s="2141"/>
      <c s="1421"/>
      <c s="1300"/>
      <c s="1300"/>
      <c s="332"/>
      <c s="332"/>
      <c s="332"/>
      <c s="332"/>
      <c s="1301"/>
      <c s="1262"/>
      <c s="1262"/>
      <c s="1262"/>
      <c s="1262"/>
      <c s="1262"/>
      <c s="1262"/>
      <c s="1262"/>
      <c s="1262"/>
      <c s="1262"/>
      <c s="1262"/>
      <c s="1262"/>
      <c s="1262"/>
      <c s="1262"/>
      <c s="1262"/>
      <c s="1262"/>
      <c s="1262"/>
      <c s="1262"/>
      <c s="1262"/>
      <c s="1262"/>
      <c s="1262"/>
      <c s="1311">
        <v>0</v>
      </c>
    </row>
    <row r="51" spans="1:44" s="1856" customFormat="1" ht="17.25" customHeight="1" hidden="1">
      <c r="A51" s="324"/>
      <c r="C51" s="212"/>
      <c s="2170"/>
      <c s="2173"/>
      <c s="2149"/>
      <c s="2173"/>
      <c s="2152"/>
      <c s="2154"/>
      <c s="2157"/>
      <c s="2141"/>
      <c s="1300"/>
      <c s="1300"/>
      <c s="1300"/>
      <c s="1300"/>
      <c s="1300"/>
      <c s="1300"/>
      <c s="1300"/>
      <c s="332"/>
      <c s="332"/>
      <c s="332"/>
      <c s="332"/>
      <c s="1301"/>
      <c r="Y51" s="1270"/>
      <c s="1270"/>
      <c s="1270"/>
      <c s="1270"/>
      <c s="1270"/>
      <c s="1270"/>
      <c s="1270"/>
      <c s="1270"/>
      <c s="1270"/>
      <c s="1270"/>
      <c s="1270"/>
      <c s="1270"/>
      <c s="1270"/>
      <c s="1270"/>
      <c s="1270"/>
      <c s="1270"/>
      <c s="1270"/>
      <c s="1270"/>
      <c s="1270"/>
      <c s="1329">
        <v>0</v>
      </c>
    </row>
    <row r="52" spans="1:44" s="1856" customFormat="1" ht="17.25" customHeight="1" hidden="1">
      <c r="A52" s="324"/>
      <c r="C52" s="323"/>
      <c s="2171"/>
      <c s="2174"/>
      <c s="2150"/>
      <c s="2174"/>
      <c s="1302"/>
      <c s="1303"/>
      <c s="1303"/>
      <c s="1303"/>
      <c s="1303"/>
      <c s="1303"/>
      <c s="1303"/>
      <c s="1303"/>
      <c s="1303"/>
      <c s="1303"/>
      <c s="1303"/>
      <c s="1304"/>
      <c s="1304"/>
      <c s="1304"/>
      <c s="1304"/>
      <c s="1305"/>
      <c s="1262"/>
      <c s="1262"/>
      <c s="1262"/>
      <c s="1262"/>
      <c s="1262"/>
      <c s="1262"/>
      <c s="1262"/>
      <c s="1262"/>
      <c s="1262"/>
      <c s="1262"/>
      <c s="1262"/>
      <c s="1262"/>
      <c s="1262"/>
      <c s="1262"/>
      <c s="1262"/>
      <c s="1262"/>
      <c s="1262"/>
      <c s="1262"/>
      <c s="1262"/>
      <c s="1262"/>
      <c s="1311">
        <v>0</v>
      </c>
    </row>
    <row r="53" spans="1:44" s="1856" customFormat="1" ht="17.25" customHeight="1" hidden="1">
      <c r="A53" s="324"/>
      <c r="C53" s="212"/>
      <c s="2138">
        <v>8</v>
      </c>
      <c s="2146" t="s">
        <v>198</v>
      </c>
      <c s="2148" t="s">
        <v>19</v>
      </c>
      <c s="2146"/>
      <c s="2151"/>
      <c s="2153"/>
      <c s="2155"/>
      <c s="2140"/>
      <c s="2140"/>
      <c s="2140"/>
      <c s="2142"/>
      <c s="2140"/>
      <c s="2140"/>
      <c s="2140"/>
      <c s="2145"/>
      <c s="2140"/>
      <c s="1473"/>
      <c s="1473"/>
      <c s="1475"/>
      <c s="1299"/>
      <c s="1270"/>
      <c s="1270"/>
      <c s="1270"/>
      <c s="1270"/>
      <c s="1270"/>
      <c s="1270" t="s">
        <v>199</v>
      </c>
      <c s="1270" t="s">
        <v>200</v>
      </c>
      <c s="1270" t="s">
        <v>201</v>
      </c>
      <c s="1270" t="s">
        <v>202</v>
      </c>
      <c s="1270" t="s">
        <v>203</v>
      </c>
      <c s="1270" t="str">
        <f>IF($E$53=0,"",$E$53)</f>
        <v>Плата за подключение (технологическое присоединение) к системе теплоснабжения</v>
      </c>
      <c s="1270" t="str">
        <f>IF($G$53=0,"",$G$53)</f>
        <v/>
      </c>
      <c s="1270" t="str">
        <f>IF($J$53=0,"",$J$53)</f>
        <v/>
      </c>
      <c s="1270" t="str">
        <f>IF($K$53="нет","без дифференциации",IF($N$53=0,"",$N$53))</f>
        <v/>
      </c>
      <c s="1270" t="str">
        <f>IF($O$53="нет","без дифференциации",IF($R$53=0,"",$R$53))</f>
        <v/>
      </c>
      <c s="1270" t="str">
        <f>IF($S$53="нет","без дифференциации",IF($V$53=0,"",$V$53))</f>
        <v/>
      </c>
      <c s="1775">
        <f>$I$53</f>
        <v>0</v>
      </c>
      <c s="1270" t="str">
        <f>$I$53&amp;"."&amp;$M$53</f>
        <v>.</v>
      </c>
      <c s="1262" t="str">
        <f>$I$53&amp;"."&amp;$M$53&amp;"."&amp;$Q$53</f>
        <v>..</v>
      </c>
      <c s="1262" t="str">
        <f>$I$53&amp;"."&amp;$M$53&amp;"."&amp;$Q$53&amp;"."&amp;$U$53</f>
        <v>...</v>
      </c>
      <c s="1311">
        <v>0</v>
      </c>
    </row>
    <row r="54" spans="1:44" s="1856" customFormat="1" ht="17.25" customHeight="1" hidden="1">
      <c r="A54" s="324"/>
      <c r="C54" s="323"/>
      <c s="2138"/>
      <c s="2146"/>
      <c s="2149"/>
      <c s="2146"/>
      <c s="2152"/>
      <c s="2154"/>
      <c s="2156"/>
      <c s="2141"/>
      <c s="2141"/>
      <c s="2141"/>
      <c s="2143"/>
      <c s="2141"/>
      <c s="2141"/>
      <c s="2141"/>
      <c s="2144"/>
      <c s="2141"/>
      <c s="1300"/>
      <c s="1300"/>
      <c s="1300"/>
      <c s="1301"/>
      <c s="1262"/>
      <c s="1262"/>
      <c s="1262"/>
      <c s="1262"/>
      <c s="1262"/>
      <c s="1262"/>
      <c s="1262"/>
      <c s="1262"/>
      <c s="1262"/>
      <c s="1262"/>
      <c s="1262"/>
      <c s="1262"/>
      <c s="1262"/>
      <c s="1262"/>
      <c s="1262"/>
      <c s="1262"/>
      <c s="1262"/>
      <c s="1262"/>
      <c s="1262"/>
      <c s="1262"/>
      <c s="1311">
        <v>0</v>
      </c>
    </row>
    <row r="55" spans="1:44" s="1856" customFormat="1" ht="17.25" customHeight="1" hidden="1">
      <c r="A55" s="324"/>
      <c r="C55" s="323"/>
      <c s="2139"/>
      <c s="2147"/>
      <c s="2149"/>
      <c s="2147"/>
      <c s="2152"/>
      <c s="2154"/>
      <c s="2157"/>
      <c s="2141"/>
      <c s="2141"/>
      <c s="2141"/>
      <c s="2144"/>
      <c s="2141"/>
      <c s="1474"/>
      <c s="1300"/>
      <c s="1300"/>
      <c s="332"/>
      <c s="332"/>
      <c s="332"/>
      <c s="332"/>
      <c s="1301"/>
      <c s="1262"/>
      <c s="1262"/>
      <c s="1262"/>
      <c s="1262"/>
      <c s="1262"/>
      <c s="1262"/>
      <c s="1262"/>
      <c s="1262"/>
      <c s="1262"/>
      <c s="1262"/>
      <c s="1262"/>
      <c s="1262"/>
      <c s="1262"/>
      <c s="1262"/>
      <c s="1262"/>
      <c s="1262"/>
      <c s="1262"/>
      <c s="1262"/>
      <c s="1262"/>
      <c s="1262"/>
      <c s="1311">
        <v>0</v>
      </c>
    </row>
    <row r="56" spans="1:44" s="1856" customFormat="1" ht="17.25" customHeight="1" hidden="1">
      <c r="A56" s="324"/>
      <c r="C56" s="212"/>
      <c s="2139"/>
      <c s="2147"/>
      <c s="2149"/>
      <c s="2147"/>
      <c s="2152"/>
      <c s="2154"/>
      <c s="2157"/>
      <c s="2141"/>
      <c s="1300"/>
      <c s="1300"/>
      <c s="1300"/>
      <c s="1300"/>
      <c s="1300"/>
      <c s="1300"/>
      <c s="1300"/>
      <c s="332"/>
      <c s="332"/>
      <c s="332"/>
      <c s="332"/>
      <c s="1301"/>
      <c r="Y56" s="1270"/>
      <c s="1270"/>
      <c s="1270"/>
      <c s="1270"/>
      <c s="1270"/>
      <c s="1270"/>
      <c s="1270"/>
      <c s="1270"/>
      <c s="1270"/>
      <c s="1270"/>
      <c s="1270"/>
      <c s="1270"/>
      <c s="1270"/>
      <c s="1270"/>
      <c s="1270"/>
      <c s="1270"/>
      <c s="1270"/>
      <c s="1270"/>
      <c s="1270"/>
      <c s="1329">
        <v>0</v>
      </c>
    </row>
    <row r="57" spans="1:44" s="1856" customFormat="1" ht="17.25" customHeight="1" hidden="1">
      <c r="A57" s="324"/>
      <c r="C57" s="323"/>
      <c s="2139"/>
      <c s="2147"/>
      <c s="2150"/>
      <c s="2147"/>
      <c s="1302"/>
      <c s="1303"/>
      <c s="1303"/>
      <c s="1303"/>
      <c s="1303"/>
      <c s="1303"/>
      <c s="1303"/>
      <c s="1303"/>
      <c s="1303"/>
      <c s="1303"/>
      <c s="1303"/>
      <c s="1304"/>
      <c s="1304"/>
      <c s="1304"/>
      <c s="1304"/>
      <c s="1305"/>
      <c s="1262"/>
      <c s="1262"/>
      <c s="1262"/>
      <c s="1262"/>
      <c s="1262"/>
      <c s="1262"/>
      <c s="1262"/>
      <c s="1262"/>
      <c s="1262"/>
      <c s="1262"/>
      <c s="1262"/>
      <c s="1262"/>
      <c s="1262"/>
      <c s="1262"/>
      <c s="1262"/>
      <c s="1262"/>
      <c s="1262"/>
      <c s="1262"/>
      <c s="1262"/>
      <c s="1262"/>
      <c s="1311">
        <v>0</v>
      </c>
    </row>
    <row r="58" spans="1:44" s="1856" customFormat="1" ht="17.25" customHeight="1" hidden="1">
      <c r="A58" s="324"/>
      <c r="C58" s="212"/>
      <c s="2138">
        <v>9</v>
      </c>
      <c s="2146" t="s">
        <v>204</v>
      </c>
      <c s="2148" t="s">
        <v>19</v>
      </c>
      <c s="2146"/>
      <c s="2151"/>
      <c s="2153"/>
      <c s="2155"/>
      <c s="2140"/>
      <c s="2140"/>
      <c s="2140"/>
      <c s="2142"/>
      <c s="2140"/>
      <c s="2140"/>
      <c s="2140"/>
      <c s="2145"/>
      <c s="2140"/>
      <c s="1934"/>
      <c s="1934"/>
      <c s="1936"/>
      <c s="1299"/>
      <c s="1270"/>
      <c s="1270"/>
      <c s="1270"/>
      <c s="1270"/>
      <c s="1270"/>
      <c s="1270" t="s">
        <v>205</v>
      </c>
      <c s="1270" t="s">
        <v>206</v>
      </c>
      <c s="1270" t="s">
        <v>207</v>
      </c>
      <c s="1270" t="s">
        <v>208</v>
      </c>
      <c s="1270" t="s">
        <v>209</v>
      </c>
      <c s="1270" t="str">
        <f>IF($E$58=0,"",$E$58)</f>
        <v>Плата за подключение (технологическое присоединение) к системе теплоснабжения (индивидуальная)</v>
      </c>
      <c s="1270" t="str">
        <f>IF($G$58=0,"",$G$58)</f>
        <v/>
      </c>
      <c s="1270" t="str">
        <f>IF($J$58=0,"",$J$58)</f>
        <v/>
      </c>
      <c s="1270" t="str">
        <f>IF($K$58="нет","без дифференциации",IF($N$58=0,"",$N$58))</f>
        <v/>
      </c>
      <c s="1270" t="str">
        <f>IF($O$58="нет","без дифференциации",IF($R$58=0,"",$R$58))</f>
        <v/>
      </c>
      <c s="1270" t="str">
        <f>IF($S$58="нет","без дифференциации",IF($V$58=0,"",$V$58))</f>
        <v/>
      </c>
      <c s="1775">
        <f>$I$58</f>
        <v>0</v>
      </c>
      <c s="1270" t="str">
        <f>$I$58&amp;"."&amp;$M$58</f>
        <v>.</v>
      </c>
      <c s="1269" t="str">
        <f>$I$58&amp;"."&amp;$M$58&amp;"."&amp;$Q$58</f>
        <v>..</v>
      </c>
      <c s="1269" t="str">
        <f>$I$58&amp;"."&amp;$M$58&amp;"."&amp;$Q$58&amp;"."&amp;$U$58</f>
        <v>...</v>
      </c>
      <c s="1470">
        <v>0</v>
      </c>
    </row>
    <row r="59" spans="1:44" s="1856" customFormat="1" ht="17.25" customHeight="1" hidden="1">
      <c r="A59" s="324"/>
      <c r="C59" s="323"/>
      <c s="2138"/>
      <c s="2146"/>
      <c s="2149"/>
      <c s="2146"/>
      <c s="2152"/>
      <c s="2154"/>
      <c s="2156"/>
      <c s="2141"/>
      <c s="2141"/>
      <c s="2141"/>
      <c s="2143"/>
      <c s="2141"/>
      <c s="2141"/>
      <c s="2141"/>
      <c s="2144"/>
      <c s="2141"/>
      <c s="1937"/>
      <c s="1937"/>
      <c s="1937"/>
      <c s="1938"/>
      <c s="1269"/>
      <c s="1269"/>
      <c s="1269"/>
      <c s="1269"/>
      <c s="1269"/>
      <c s="1269"/>
      <c s="1269"/>
      <c s="1269"/>
      <c s="1269"/>
      <c s="1269"/>
      <c s="1269"/>
      <c s="1269"/>
      <c s="1269"/>
      <c s="1269"/>
      <c s="1269"/>
      <c s="1269"/>
      <c s="1269"/>
      <c s="1269"/>
      <c s="1269"/>
      <c s="1269"/>
      <c s="1470">
        <v>0</v>
      </c>
    </row>
    <row r="60" spans="1:44" s="1856" customFormat="1" ht="17.25" customHeight="1" hidden="1">
      <c r="A60" s="324"/>
      <c r="C60" s="323"/>
      <c s="2139"/>
      <c s="2147"/>
      <c s="2149"/>
      <c s="2147"/>
      <c s="2152"/>
      <c s="2154"/>
      <c s="2157"/>
      <c s="2141"/>
      <c s="2141"/>
      <c s="2141"/>
      <c s="2144"/>
      <c s="2141"/>
      <c s="1935"/>
      <c s="1937"/>
      <c s="1937"/>
      <c s="332"/>
      <c s="332"/>
      <c s="332"/>
      <c s="332"/>
      <c s="1938"/>
      <c s="1269"/>
      <c s="1269"/>
      <c s="1269"/>
      <c s="1269"/>
      <c s="1269"/>
      <c s="1269"/>
      <c s="1269"/>
      <c s="1269"/>
      <c s="1269"/>
      <c s="1269"/>
      <c s="1269"/>
      <c s="1269"/>
      <c s="1269"/>
      <c s="1269"/>
      <c s="1269"/>
      <c s="1269"/>
      <c s="1269"/>
      <c s="1269"/>
      <c s="1269"/>
      <c s="1269"/>
      <c s="1470">
        <v>0</v>
      </c>
    </row>
    <row r="61" spans="1:44" s="1856" customFormat="1" ht="17.25" customHeight="1" hidden="1">
      <c r="A61" s="324"/>
      <c r="C61" s="212"/>
      <c s="2139"/>
      <c s="2147"/>
      <c s="2149"/>
      <c s="2147"/>
      <c s="2152"/>
      <c s="2154"/>
      <c s="2157"/>
      <c s="2141"/>
      <c s="1937"/>
      <c s="1937"/>
      <c s="1937"/>
      <c s="1937"/>
      <c s="1937"/>
      <c s="1937"/>
      <c s="1937"/>
      <c s="332"/>
      <c s="332"/>
      <c s="332"/>
      <c s="332"/>
      <c s="1938"/>
      <c r="Y61" s="1270"/>
      <c s="1270"/>
      <c s="1270"/>
      <c s="1270"/>
      <c s="1270"/>
      <c s="1270"/>
      <c s="1270"/>
      <c s="1270"/>
      <c s="1270"/>
      <c s="1270"/>
      <c s="1270"/>
      <c s="1270"/>
      <c s="1270"/>
      <c s="1270"/>
      <c s="1270"/>
      <c s="1270"/>
      <c s="1270"/>
      <c s="1270"/>
      <c s="1270"/>
      <c s="1470">
        <v>0</v>
      </c>
    </row>
    <row r="62" spans="1:44" s="1856" customFormat="1" ht="17.25" customHeight="1" hidden="1">
      <c r="A62" s="324"/>
      <c r="C62" s="323"/>
      <c s="2139"/>
      <c s="2147"/>
      <c s="2150"/>
      <c s="2147"/>
      <c s="1302"/>
      <c s="1939"/>
      <c s="1939"/>
      <c s="1939"/>
      <c s="1939"/>
      <c s="1939"/>
      <c s="1939"/>
      <c s="1939"/>
      <c s="1939"/>
      <c s="1939"/>
      <c s="1939"/>
      <c s="1304"/>
      <c s="1304"/>
      <c s="1304"/>
      <c s="1304"/>
      <c s="1940"/>
      <c s="1269"/>
      <c s="1269"/>
      <c s="1269"/>
      <c s="1269"/>
      <c s="1269"/>
      <c s="1269"/>
      <c s="1269"/>
      <c s="1269"/>
      <c s="1269"/>
      <c s="1269"/>
      <c s="1269"/>
      <c s="1269"/>
      <c s="1269"/>
      <c s="1269"/>
      <c s="1269"/>
      <c s="1269"/>
      <c s="1269"/>
      <c s="1269"/>
      <c s="1269"/>
      <c s="1269"/>
      <c s="1470">
        <v>0</v>
      </c>
    </row>
    <row r="63" spans="1:44" s="1856" customFormat="1" ht="17.25" customHeight="1" hidden="1">
      <c r="A63" s="324"/>
      <c r="C63" s="212"/>
      <c s="2138">
        <v>10</v>
      </c>
      <c s="2146" t="s">
        <v>210</v>
      </c>
      <c s="2148" t="s">
        <v>19</v>
      </c>
      <c s="2146"/>
      <c s="2151"/>
      <c s="2153"/>
      <c s="2155"/>
      <c s="2140"/>
      <c s="2140"/>
      <c s="2140"/>
      <c s="2142"/>
      <c s="2140"/>
      <c s="2140"/>
      <c s="2140"/>
      <c s="2145"/>
      <c s="2140"/>
      <c s="1934"/>
      <c s="1934"/>
      <c s="1936"/>
      <c s="1299"/>
      <c s="1270"/>
      <c s="1270"/>
      <c s="1270"/>
      <c s="1270"/>
      <c s="1270"/>
      <c s="1270" t="s">
        <v>211</v>
      </c>
      <c s="1270" t="s">
        <v>212</v>
      </c>
      <c s="1270" t="s">
        <v>213</v>
      </c>
      <c s="1270" t="s">
        <v>214</v>
      </c>
      <c s="1270" t="s">
        <v>215</v>
      </c>
      <c s="1270" t="str">
        <f>IF($E$63=0,"",$E$63)</f>
        <v>Предельный уровень цены на тепловую энергию (мощность), поставляемую теплоснабжающими организациями потребителям</v>
      </c>
      <c s="1270" t="str">
        <f>IF($G$63=0,"",$G$63)</f>
        <v/>
      </c>
      <c s="1270" t="str">
        <f>IF($J$63=0,"",$J$63)</f>
        <v/>
      </c>
      <c s="1270" t="str">
        <f>IF($K$63="нет","без дифференциации",IF($N$63=0,"",$N$63))</f>
        <v/>
      </c>
      <c s="1270" t="str">
        <f>IF($O$63="нет","без дифференциации",IF($R$63=0,"",$R$63))</f>
        <v/>
      </c>
      <c s="1270" t="str">
        <f>IF($S$63="нет","без дифференциации",IF($V$63=0,"",$V$63))</f>
        <v/>
      </c>
      <c s="1775">
        <f>$I$63</f>
        <v>0</v>
      </c>
      <c s="1270" t="str">
        <f>$I$63&amp;"."&amp;$M$63</f>
        <v>.</v>
      </c>
      <c s="1269" t="str">
        <f>$I$63&amp;"."&amp;$M$63&amp;"."&amp;$Q$63</f>
        <v>..</v>
      </c>
      <c s="1269" t="str">
        <f>$I$63&amp;"."&amp;$M$63&amp;"."&amp;$Q$63&amp;"."&amp;$U$63</f>
        <v>...</v>
      </c>
      <c s="1470">
        <v>0</v>
      </c>
    </row>
    <row r="64" spans="1:44" s="1856" customFormat="1" ht="17.25" customHeight="1" hidden="1">
      <c r="A64" s="324"/>
      <c r="C64" s="323"/>
      <c s="2138"/>
      <c s="2146"/>
      <c s="2149"/>
      <c s="2146"/>
      <c s="2152"/>
      <c s="2154"/>
      <c s="2156"/>
      <c s="2141"/>
      <c s="2141"/>
      <c s="2141"/>
      <c s="2143"/>
      <c s="2141"/>
      <c s="2141"/>
      <c s="2141"/>
      <c s="2144"/>
      <c s="2141"/>
      <c s="1937"/>
      <c s="1937"/>
      <c s="1937"/>
      <c s="1938"/>
      <c s="1269"/>
      <c s="1269"/>
      <c s="1269"/>
      <c s="1269"/>
      <c s="1269"/>
      <c s="1269"/>
      <c s="1269"/>
      <c s="1269"/>
      <c s="1269"/>
      <c s="1269"/>
      <c s="1269"/>
      <c s="1269"/>
      <c s="1269"/>
      <c s="1269"/>
      <c s="1269"/>
      <c s="1269"/>
      <c s="1269"/>
      <c s="1269"/>
      <c s="1269"/>
      <c s="1269"/>
      <c s="1470">
        <v>0</v>
      </c>
    </row>
    <row r="65" spans="1:44" s="1856" customFormat="1" ht="17.25" customHeight="1" hidden="1">
      <c r="A65" s="324"/>
      <c r="C65" s="323"/>
      <c s="2139"/>
      <c s="2147"/>
      <c s="2149"/>
      <c s="2147"/>
      <c s="2152"/>
      <c s="2154"/>
      <c s="2157"/>
      <c s="2141"/>
      <c s="2141"/>
      <c s="2141"/>
      <c s="2144"/>
      <c s="2141"/>
      <c s="1935"/>
      <c s="1937"/>
      <c s="1937"/>
      <c s="332"/>
      <c s="332"/>
      <c s="332"/>
      <c s="332"/>
      <c s="1938"/>
      <c s="1269"/>
      <c s="1269"/>
      <c s="1269"/>
      <c s="1269"/>
      <c s="1269"/>
      <c s="1269"/>
      <c s="1269"/>
      <c s="1269"/>
      <c s="1269"/>
      <c s="1269"/>
      <c s="1269"/>
      <c s="1269"/>
      <c s="1269"/>
      <c s="1269"/>
      <c s="1269"/>
      <c s="1269"/>
      <c s="1269"/>
      <c s="1269"/>
      <c s="1269"/>
      <c s="1269"/>
      <c s="1470">
        <v>0</v>
      </c>
    </row>
    <row r="66" spans="1:44" s="1856" customFormat="1" ht="17.25" customHeight="1" hidden="1">
      <c r="A66" s="324"/>
      <c r="C66" s="212"/>
      <c s="2139"/>
      <c s="2147"/>
      <c s="2149"/>
      <c s="2147"/>
      <c s="2152"/>
      <c s="2154"/>
      <c s="2157"/>
      <c s="2141"/>
      <c s="1937"/>
      <c s="1937"/>
      <c s="1937"/>
      <c s="1937"/>
      <c s="1937"/>
      <c s="1937"/>
      <c s="1937"/>
      <c s="332"/>
      <c s="332"/>
      <c s="332"/>
      <c s="332"/>
      <c s="1938"/>
      <c r="Y66" s="1270"/>
      <c s="1270"/>
      <c s="1270"/>
      <c s="1270"/>
      <c s="1270"/>
      <c s="1270"/>
      <c s="1270"/>
      <c s="1270"/>
      <c s="1270"/>
      <c s="1270"/>
      <c s="1270"/>
      <c s="1270"/>
      <c s="1270"/>
      <c s="1270"/>
      <c s="1270"/>
      <c s="1270"/>
      <c s="1270"/>
      <c s="1270"/>
      <c s="1270"/>
      <c s="1470">
        <v>0</v>
      </c>
    </row>
    <row r="67" spans="1:44" s="1856" customFormat="1" ht="17.25" customHeight="1" hidden="1">
      <c r="A67" s="324"/>
      <c r="C67" s="323"/>
      <c s="2139"/>
      <c s="2147"/>
      <c s="2150"/>
      <c s="2147"/>
      <c s="1302"/>
      <c s="1939"/>
      <c s="1939"/>
      <c s="1939"/>
      <c s="1939"/>
      <c s="1939"/>
      <c s="1939"/>
      <c s="1939"/>
      <c s="1939"/>
      <c s="1939"/>
      <c s="1939"/>
      <c s="1304"/>
      <c s="1304"/>
      <c s="1304"/>
      <c s="1304"/>
      <c s="1940"/>
      <c s="1269"/>
      <c s="1269"/>
      <c s="1269"/>
      <c s="1269"/>
      <c s="1269"/>
      <c s="1269"/>
      <c s="1269"/>
      <c s="1269"/>
      <c s="1269"/>
      <c s="1269"/>
      <c s="1269"/>
      <c s="1269"/>
      <c s="1269"/>
      <c s="1269"/>
      <c s="1269"/>
      <c s="1269"/>
      <c s="1269"/>
      <c s="1269"/>
      <c s="1269"/>
      <c s="1269"/>
      <c s="1470">
        <v>0</v>
      </c>
    </row>
    <row r="68" spans="44:44" ht="11.25" customHeight="1" hidden="1">
      <c r="AR68" s="107">
        <v>0</v>
      </c>
    </row>
    <row r="69" spans="5:44" ht="11.25" customHeight="1" hidden="1">
      <c r="E69" s="2177" t="s">
        <v>216</v>
      </c>
      <c s="2177"/>
      <c s="2177"/>
      <c s="2177"/>
      <c s="2177"/>
      <c s="2177"/>
      <c s="2177"/>
      <c s="2177"/>
      <c s="2177"/>
      <c s="2177"/>
      <c s="2177"/>
      <c s="2177"/>
      <c s="2177"/>
      <c s="2177"/>
      <c s="2177"/>
      <c s="2177"/>
      <c s="2177"/>
      <c s="2177"/>
      <c s="2177"/>
      <c r="AR69" s="107">
        <v>0</v>
      </c>
    </row>
    <row r="70" spans="5:44" ht="36.75" customHeight="1" hidden="1">
      <c r="E70" s="2175" t="s">
        <v>217</v>
      </c>
      <c s="2175"/>
      <c s="2176"/>
      <c s="2176"/>
      <c s="2176"/>
      <c s="2176"/>
      <c s="2176"/>
      <c s="2176"/>
      <c s="2176"/>
      <c s="2176"/>
      <c s="2176"/>
      <c s="2176"/>
      <c s="2176"/>
      <c s="2176"/>
      <c s="2176"/>
      <c s="2176"/>
      <c s="2176"/>
      <c s="2176"/>
      <c s="2176"/>
      <c r="AR70" s="107">
        <v>0</v>
      </c>
    </row>
    <row r="71" spans="5:44" ht="28.5" customHeight="1" hidden="1">
      <c r="E71" s="2175" t="s">
        <v>218</v>
      </c>
      <c s="2175"/>
      <c s="2176"/>
      <c s="2176"/>
      <c s="2176"/>
      <c s="2176"/>
      <c s="2176"/>
      <c s="2176"/>
      <c s="2176"/>
      <c s="2176"/>
      <c s="2176"/>
      <c s="2176"/>
      <c s="2176"/>
      <c s="2176"/>
      <c s="2176"/>
      <c s="2176"/>
      <c s="2176"/>
      <c s="2176"/>
      <c s="2176"/>
      <c r="AR71" s="107">
        <v>0</v>
      </c>
    </row>
    <row r="72" spans="5:44" ht="27" customHeight="1" hidden="1">
      <c r="E72" s="2175" t="s">
        <v>219</v>
      </c>
      <c s="2175"/>
      <c s="2176"/>
      <c s="2176"/>
      <c s="2176"/>
      <c s="2176"/>
      <c s="2176"/>
      <c s="2176"/>
      <c s="2176"/>
      <c s="2176"/>
      <c s="2176"/>
      <c s="2176"/>
      <c s="2176"/>
      <c s="2176"/>
      <c s="2176"/>
      <c s="2176"/>
      <c s="2176"/>
      <c s="2176"/>
      <c s="2176"/>
      <c r="AR72" s="107">
        <v>0</v>
      </c>
    </row>
    <row r="73" spans="5:44" ht="17.25" customHeight="1" hidden="1">
      <c r="E73" s="2175" t="s">
        <v>220</v>
      </c>
      <c s="2175"/>
      <c s="2176"/>
      <c s="2176"/>
      <c s="2176"/>
      <c s="2176"/>
      <c s="2176"/>
      <c s="2176"/>
      <c s="2176"/>
      <c s="2176"/>
      <c s="2176"/>
      <c s="2176"/>
      <c s="2176"/>
      <c s="2176"/>
      <c s="2176"/>
      <c s="2176"/>
      <c s="2176"/>
      <c s="2176"/>
      <c s="2176"/>
      <c r="AR73" s="107">
        <v>0</v>
      </c>
    </row>
    <row r="74" spans="5:44" ht="15" customHeight="1" hidden="1">
      <c r="E74" s="343"/>
      <c s="1288"/>
      <c s="160"/>
      <c s="160"/>
      <c s="160"/>
      <c s="160"/>
      <c s="160"/>
      <c s="160"/>
      <c s="160"/>
      <c s="160"/>
      <c s="160"/>
      <c s="160"/>
      <c s="160"/>
      <c s="160"/>
      <c s="160"/>
      <c s="160"/>
      <c s="160"/>
      <c s="160"/>
      <c s="160"/>
      <c r="AR74" s="107">
        <v>0</v>
      </c>
    </row>
    <row r="75" spans="5:44" ht="15" customHeight="1" hidden="1">
      <c r="E75" s="2177" t="s">
        <v>221</v>
      </c>
      <c s="2177"/>
      <c s="2177"/>
      <c s="2177"/>
      <c s="2177"/>
      <c s="2177"/>
      <c s="2177"/>
      <c s="2177"/>
      <c s="2177"/>
      <c s="2177"/>
      <c s="2177"/>
      <c s="2177"/>
      <c s="2177"/>
      <c s="2177"/>
      <c s="2177"/>
      <c s="2177"/>
      <c s="2177"/>
      <c s="2177"/>
      <c s="2177"/>
      <c r="AR75" s="107">
        <v>0</v>
      </c>
    </row>
    <row r="76" spans="5:44" ht="17.25" customHeight="1" hidden="1">
      <c r="E76" s="2175" t="s">
        <v>222</v>
      </c>
      <c s="2175"/>
      <c s="2176"/>
      <c s="2176"/>
      <c s="2176"/>
      <c s="2176"/>
      <c s="2176"/>
      <c s="2176"/>
      <c s="2176"/>
      <c s="2176"/>
      <c s="2176"/>
      <c s="2176"/>
      <c s="2176"/>
      <c s="2176"/>
      <c s="2176"/>
      <c s="2176"/>
      <c s="2176"/>
      <c s="2176"/>
      <c s="2176"/>
      <c r="AR76" s="107">
        <v>0</v>
      </c>
    </row>
    <row r="77" spans="5:44" ht="17.25" customHeight="1" hidden="1">
      <c r="E77" s="2175" t="s">
        <v>223</v>
      </c>
      <c s="2175"/>
      <c s="2176"/>
      <c s="2176"/>
      <c s="2176"/>
      <c s="2176"/>
      <c s="2176"/>
      <c s="2176"/>
      <c s="2176"/>
      <c s="2176"/>
      <c s="2176"/>
      <c s="2176"/>
      <c s="2176"/>
      <c s="2176"/>
      <c s="2176"/>
      <c s="2176"/>
      <c s="2176"/>
      <c s="2176"/>
      <c s="2176"/>
      <c r="AR77" s="107">
        <v>0</v>
      </c>
    </row>
    <row r="78" spans="1:44" s="1856" customFormat="1" ht="11.25" customHeight="1" hidden="1">
      <c r="A78" s="280"/>
      <c s="280"/>
      <c r="Y78" s="1262"/>
      <c s="1262"/>
      <c s="1262"/>
      <c s="1262"/>
      <c s="1262"/>
      <c s="1262"/>
      <c s="1262"/>
      <c s="1262"/>
      <c s="1262"/>
      <c s="1262"/>
      <c s="1262"/>
      <c s="1262"/>
      <c s="1262"/>
      <c s="1262"/>
      <c s="1262"/>
      <c s="1262"/>
      <c s="1262"/>
      <c s="1262"/>
      <c s="1262"/>
      <c s="1353">
        <v>0</v>
      </c>
    </row>
    <row r="79" spans="1:44" s="1856" customFormat="1" ht="17.25" customHeight="1" hidden="1">
      <c r="A79" s="324"/>
      <c r="C79" s="212"/>
      <c s="2138">
        <v>1</v>
      </c>
      <c s="2146" t="s">
        <v>224</v>
      </c>
      <c s="2148" t="s">
        <v>19</v>
      </c>
      <c s="2146"/>
      <c s="2151"/>
      <c s="2153"/>
      <c s="2155"/>
      <c s="2140"/>
      <c s="2140"/>
      <c s="2140"/>
      <c s="2142"/>
      <c s="2140"/>
      <c s="2140"/>
      <c s="2140"/>
      <c s="2145"/>
      <c s="2140"/>
      <c s="1473"/>
      <c s="1473"/>
      <c s="1475"/>
      <c s="1299"/>
      <c r="Y79" s="1270"/>
      <c s="1270"/>
      <c s="1270"/>
      <c s="1270"/>
      <c s="1270" t="s">
        <v>225</v>
      </c>
      <c s="1270" t="s">
        <v>226</v>
      </c>
      <c s="1270" t="s">
        <v>227</v>
      </c>
      <c s="1270" t="s">
        <v>228</v>
      </c>
      <c s="1270"/>
      <c s="1270" t="str">
        <f>IF($E$79=0,"",$E$79)</f>
        <v>Тариф на питьевую воду (питьевое водоснабжение)</v>
      </c>
      <c s="1270" t="str">
        <f>IF($G$79=0,"",$G$79)</f>
        <v/>
      </c>
      <c s="1270" t="str">
        <f>IF($J$79=0,"",$J$79)</f>
        <v/>
      </c>
      <c s="1270" t="str">
        <f>IF($K$79="нет","без дифференциации",IF($N$79=0,"",$N$79))</f>
        <v/>
      </c>
      <c s="1270" t="str">
        <f>IF($O$79="нет","без дифференциации",IF($R$79=0,"",$R$79))</f>
        <v/>
      </c>
      <c s="1270" t="str">
        <f>IF($S$79="нет","без дифференциации",IF($V$79=0,"",$V$79))</f>
        <v/>
      </c>
      <c s="1270">
        <f>$I$79</f>
        <v>0</v>
      </c>
      <c s="1270" t="str">
        <f>$I$79&amp;"."&amp;$M$79</f>
        <v>.</v>
      </c>
      <c s="1270" t="str">
        <f>$I$79&amp;"."&amp;$M$79&amp;"."&amp;$Q$79</f>
        <v>..</v>
      </c>
      <c s="1270" t="str">
        <f>$I$79&amp;"."&amp;$M$79&amp;"."&amp;$Q$79&amp;"."&amp;$U$79</f>
        <v>...</v>
      </c>
      <c s="1353">
        <v>0</v>
      </c>
    </row>
    <row r="80" spans="1:44" s="1856" customFormat="1" ht="17.25" customHeight="1" hidden="1">
      <c r="A80" s="324"/>
      <c r="C80" s="323"/>
      <c s="2138"/>
      <c s="2146"/>
      <c s="2149"/>
      <c s="2146"/>
      <c s="2152"/>
      <c s="2154"/>
      <c s="2156"/>
      <c s="2141"/>
      <c s="2141"/>
      <c s="2141"/>
      <c s="2143"/>
      <c s="2141"/>
      <c s="2141"/>
      <c s="2141"/>
      <c s="2144"/>
      <c s="2141"/>
      <c s="1300"/>
      <c s="1300"/>
      <c s="1300"/>
      <c s="1301"/>
      <c r="Y80" s="1262"/>
      <c s="1262"/>
      <c s="1262"/>
      <c s="1262"/>
      <c s="1262"/>
      <c s="1262"/>
      <c s="1262"/>
      <c s="1262"/>
      <c s="1262"/>
      <c s="1262"/>
      <c s="1262"/>
      <c s="1262"/>
      <c s="1262"/>
      <c s="1262"/>
      <c s="1262"/>
      <c s="1262"/>
      <c s="1262"/>
      <c s="1262"/>
      <c s="1262"/>
      <c s="1353">
        <v>0</v>
      </c>
    </row>
    <row r="81" spans="1:44" s="1856" customFormat="1" ht="17.25" customHeight="1" hidden="1">
      <c r="A81" s="324"/>
      <c r="C81" s="212"/>
      <c s="2138"/>
      <c s="2146"/>
      <c s="2149"/>
      <c s="2146"/>
      <c s="2152"/>
      <c s="2154"/>
      <c s="2157"/>
      <c s="2141"/>
      <c s="2141"/>
      <c s="2141"/>
      <c s="2144"/>
      <c s="2141"/>
      <c s="1474"/>
      <c s="1300"/>
      <c s="1300"/>
      <c s="332"/>
      <c s="332"/>
      <c s="332"/>
      <c s="332"/>
      <c s="1301"/>
      <c r="Y81" s="1270"/>
      <c s="1270"/>
      <c s="1270"/>
      <c s="1270"/>
      <c s="1270"/>
      <c s="1270"/>
      <c s="1270"/>
      <c s="1270"/>
      <c s="1270"/>
      <c s="1270"/>
      <c s="1270"/>
      <c s="1270"/>
      <c s="1270"/>
      <c s="1270"/>
      <c s="1270"/>
      <c s="1270"/>
      <c s="1270"/>
      <c s="1270"/>
      <c s="1270"/>
      <c s="1444">
        <v>0</v>
      </c>
    </row>
    <row r="82" spans="1:44" s="1856" customFormat="1" ht="17.25" customHeight="1" hidden="1">
      <c r="A82" s="324"/>
      <c r="C82" s="323"/>
      <c s="2138"/>
      <c s="2146"/>
      <c s="2149"/>
      <c s="2146"/>
      <c s="2152"/>
      <c s="2154"/>
      <c s="2157"/>
      <c s="2141"/>
      <c s="1300"/>
      <c s="1300"/>
      <c s="1300"/>
      <c s="1300"/>
      <c s="1300"/>
      <c s="1300"/>
      <c s="1300"/>
      <c s="332"/>
      <c s="332"/>
      <c s="332"/>
      <c s="332"/>
      <c s="1301"/>
      <c r="Y82" s="1262"/>
      <c s="1262"/>
      <c s="1262"/>
      <c s="1262"/>
      <c s="1262"/>
      <c s="1262"/>
      <c s="1262"/>
      <c s="1262"/>
      <c s="1262"/>
      <c s="1262"/>
      <c s="1262"/>
      <c s="1262"/>
      <c s="1262"/>
      <c s="1262"/>
      <c s="1262"/>
      <c s="1262"/>
      <c s="1262"/>
      <c s="1262"/>
      <c s="1262"/>
      <c s="1444">
        <v>0</v>
      </c>
    </row>
    <row r="83" spans="1:44" s="1856" customFormat="1" ht="17.25" customHeight="1" hidden="1">
      <c r="A83" s="324"/>
      <c r="C83" s="323"/>
      <c s="2139"/>
      <c s="2147"/>
      <c s="2150"/>
      <c s="2147"/>
      <c s="1302"/>
      <c s="1303"/>
      <c s="1303"/>
      <c s="1303"/>
      <c s="1303"/>
      <c s="1303"/>
      <c s="1303"/>
      <c s="1303"/>
      <c s="1303"/>
      <c s="1303"/>
      <c s="1303"/>
      <c s="1304"/>
      <c s="1304"/>
      <c s="1304"/>
      <c s="1304"/>
      <c s="1305"/>
      <c r="Y83" s="1262"/>
      <c s="1262"/>
      <c s="1262"/>
      <c s="1262"/>
      <c s="1262"/>
      <c s="1262"/>
      <c s="1262"/>
      <c s="1262"/>
      <c s="1262"/>
      <c s="1262"/>
      <c s="1262"/>
      <c s="1262"/>
      <c s="1262"/>
      <c s="1262"/>
      <c s="1262"/>
      <c s="1262"/>
      <c s="1262"/>
      <c s="1262"/>
      <c s="1262"/>
      <c s="1353">
        <v>0</v>
      </c>
    </row>
    <row r="84" spans="1:44" s="1856" customFormat="1" ht="17.25" customHeight="1" hidden="1">
      <c r="A84" s="324"/>
      <c r="C84" s="212"/>
      <c s="2138">
        <v>2</v>
      </c>
      <c s="2146" t="s">
        <v>229</v>
      </c>
      <c s="2148" t="s">
        <v>19</v>
      </c>
      <c s="2146"/>
      <c s="2151"/>
      <c s="2153"/>
      <c s="2155"/>
      <c s="2140"/>
      <c s="2140"/>
      <c s="2140"/>
      <c s="2142"/>
      <c s="2140"/>
      <c s="2140"/>
      <c s="2140"/>
      <c s="2145"/>
      <c s="2140"/>
      <c s="1446"/>
      <c s="1446"/>
      <c s="1448"/>
      <c s="1299"/>
      <c s="1270"/>
      <c s="1270"/>
      <c s="1270"/>
      <c s="1270"/>
      <c s="1270"/>
      <c s="1270" t="s">
        <v>230</v>
      </c>
      <c s="1270" t="s">
        <v>231</v>
      </c>
      <c s="1270" t="s">
        <v>232</v>
      </c>
      <c s="1270" t="s">
        <v>233</v>
      </c>
      <c s="1270"/>
      <c s="1270" t="str">
        <f>IF($E$84=0,"",$E$84)</f>
        <v>Тариф на техническую воду</v>
      </c>
      <c s="1270" t="str">
        <f>IF($G$84=0,"",$G$84)</f>
        <v/>
      </c>
      <c s="1270" t="str">
        <f>IF($J$84=0,"",$J$84)</f>
        <v/>
      </c>
      <c s="1270" t="str">
        <f>IF($K$84="нет","без дифференциации",IF($N$84=0,"",$N$84))</f>
        <v/>
      </c>
      <c s="1270" t="str">
        <f>IF($O$84="нет","без дифференциации",IF($R$84=0,"",$R$84))</f>
        <v/>
      </c>
      <c s="1270" t="str">
        <f>IF($S$84="нет","без дифференциации",IF($V$84=0,"",$V$84))</f>
        <v/>
      </c>
      <c s="1775">
        <f>$I$84</f>
        <v>0</v>
      </c>
      <c s="1270" t="str">
        <f>$I$84&amp;"."&amp;$M$84</f>
        <v>.</v>
      </c>
      <c s="1262" t="str">
        <f>$I$84&amp;"."&amp;$M$84&amp;"."&amp;$Q$84</f>
        <v>..</v>
      </c>
      <c s="1262" t="str">
        <f>$I$84&amp;"."&amp;$M$84&amp;"."&amp;$Q$84&amp;"."&amp;$U$84</f>
        <v>...</v>
      </c>
      <c s="1353">
        <v>0</v>
      </c>
    </row>
    <row r="85" spans="1:44" s="1856" customFormat="1" ht="17.25" customHeight="1" hidden="1">
      <c r="A85" s="324"/>
      <c r="C85" s="323"/>
      <c s="2138"/>
      <c s="2146"/>
      <c s="2149"/>
      <c s="2146"/>
      <c s="2152"/>
      <c s="2154"/>
      <c s="2156"/>
      <c s="2141"/>
      <c s="2141"/>
      <c s="2141"/>
      <c s="2143"/>
      <c s="2141"/>
      <c s="2141"/>
      <c s="2141"/>
      <c s="2144"/>
      <c s="2141"/>
      <c s="1300"/>
      <c s="1300"/>
      <c s="1300"/>
      <c s="1301"/>
      <c s="1262"/>
      <c s="1262"/>
      <c s="1262"/>
      <c s="1262"/>
      <c s="1262"/>
      <c s="1262"/>
      <c s="1262"/>
      <c s="1262"/>
      <c s="1262"/>
      <c s="1262"/>
      <c s="1262"/>
      <c s="1262"/>
      <c s="1262"/>
      <c s="1262"/>
      <c s="1262"/>
      <c s="1262"/>
      <c s="1262"/>
      <c s="1262"/>
      <c s="1262"/>
      <c s="1262"/>
      <c s="1353">
        <v>0</v>
      </c>
    </row>
    <row r="86" spans="1:44" s="1856" customFormat="1" ht="17.25" customHeight="1" hidden="1">
      <c r="A86" s="324"/>
      <c r="C86" s="323"/>
      <c s="2139"/>
      <c s="2147"/>
      <c s="2149"/>
      <c s="2147"/>
      <c s="2152"/>
      <c s="2154"/>
      <c s="2157"/>
      <c s="2141"/>
      <c s="2141"/>
      <c s="2141"/>
      <c s="2144"/>
      <c s="2141"/>
      <c s="1447"/>
      <c s="1300"/>
      <c s="1300"/>
      <c s="332"/>
      <c s="332"/>
      <c s="332"/>
      <c s="332"/>
      <c s="1301"/>
      <c s="1262"/>
      <c s="1262"/>
      <c s="1262"/>
      <c s="1262"/>
      <c s="1262"/>
      <c s="1262"/>
      <c s="1262"/>
      <c s="1262"/>
      <c s="1262"/>
      <c s="1262"/>
      <c s="1262"/>
      <c s="1262"/>
      <c s="1262"/>
      <c s="1262"/>
      <c s="1262"/>
      <c s="1262"/>
      <c s="1262"/>
      <c s="1262"/>
      <c s="1262"/>
      <c s="1262"/>
      <c s="1353">
        <v>0</v>
      </c>
    </row>
    <row r="87" spans="1:44" s="1856" customFormat="1" ht="17.25" customHeight="1" hidden="1">
      <c r="A87" s="324"/>
      <c r="C87" s="323"/>
      <c s="2139"/>
      <c s="2147"/>
      <c s="2149"/>
      <c s="2147"/>
      <c s="2152"/>
      <c s="2154"/>
      <c s="2157"/>
      <c s="2141"/>
      <c s="1300"/>
      <c s="1300"/>
      <c s="1300"/>
      <c s="1300"/>
      <c s="1300"/>
      <c s="1300"/>
      <c s="1300"/>
      <c s="332"/>
      <c s="332"/>
      <c s="332"/>
      <c s="332"/>
      <c s="1301"/>
      <c s="1262"/>
      <c s="1262"/>
      <c s="1262"/>
      <c s="1262"/>
      <c s="1262"/>
      <c s="1262"/>
      <c s="1262"/>
      <c s="1262"/>
      <c s="1262"/>
      <c s="1262"/>
      <c s="1262"/>
      <c s="1262"/>
      <c s="1262"/>
      <c s="1262"/>
      <c s="1262"/>
      <c s="1262"/>
      <c s="1262"/>
      <c s="1262"/>
      <c s="1262"/>
      <c s="1262"/>
      <c s="1353">
        <v>0</v>
      </c>
    </row>
    <row r="88" spans="1:44" s="1856" customFormat="1" ht="17.25" customHeight="1" hidden="1">
      <c r="A88" s="324"/>
      <c r="C88" s="323"/>
      <c s="2139"/>
      <c s="2147"/>
      <c s="2150"/>
      <c s="2147"/>
      <c s="1302"/>
      <c s="1303"/>
      <c s="1303"/>
      <c s="1303"/>
      <c s="1303"/>
      <c s="1303"/>
      <c s="1303"/>
      <c s="1303"/>
      <c s="1303"/>
      <c s="1303"/>
      <c s="1303"/>
      <c s="1304"/>
      <c s="1304"/>
      <c s="1304"/>
      <c s="1304"/>
      <c s="1305"/>
      <c s="1262"/>
      <c s="1262"/>
      <c s="1262"/>
      <c s="1262"/>
      <c s="1262"/>
      <c s="1262"/>
      <c s="1262"/>
      <c s="1262"/>
      <c s="1262"/>
      <c s="1262"/>
      <c s="1262"/>
      <c s="1262"/>
      <c s="1262"/>
      <c s="1262"/>
      <c s="1262"/>
      <c s="1262"/>
      <c s="1262"/>
      <c s="1262"/>
      <c s="1262"/>
      <c s="1262"/>
      <c s="1353">
        <v>0</v>
      </c>
    </row>
    <row r="89" spans="1:44" s="1856" customFormat="1" ht="17.25" customHeight="1" hidden="1">
      <c r="A89" s="324"/>
      <c r="C89" s="212"/>
      <c s="2138">
        <v>3</v>
      </c>
      <c s="2146" t="s">
        <v>234</v>
      </c>
      <c s="2148" t="s">
        <v>19</v>
      </c>
      <c s="2146"/>
      <c s="2151"/>
      <c s="2153"/>
      <c s="2155"/>
      <c s="2140"/>
      <c s="2140"/>
      <c s="2140"/>
      <c s="2142"/>
      <c s="2140"/>
      <c s="2140"/>
      <c s="2140"/>
      <c s="2145"/>
      <c s="2140"/>
      <c s="1446"/>
      <c s="1446"/>
      <c s="1448"/>
      <c s="1299"/>
      <c s="1270"/>
      <c s="1270"/>
      <c s="1270"/>
      <c s="1270"/>
      <c s="1270"/>
      <c s="1270" t="s">
        <v>235</v>
      </c>
      <c s="1270" t="s">
        <v>236</v>
      </c>
      <c s="1270" t="s">
        <v>237</v>
      </c>
      <c s="1270" t="s">
        <v>238</v>
      </c>
      <c s="1270"/>
      <c s="1270" t="str">
        <f>IF($E$89=0,"",$E$89)</f>
        <v>Тариф на транспортировку воды</v>
      </c>
      <c s="1270" t="str">
        <f>IF($G$89=0,"",$G$89)</f>
        <v/>
      </c>
      <c s="1270" t="str">
        <f>IF($J$89=0,"",$J$89)</f>
        <v/>
      </c>
      <c s="1270" t="str">
        <f>IF($K$89="нет","без дифференциации",IF($N$89=0,"",$N$89))</f>
        <v/>
      </c>
      <c s="1270" t="str">
        <f>IF($O$89="нет","без дифференциации",IF($R$89=0,"",$R$89))</f>
        <v/>
      </c>
      <c s="1270" t="str">
        <f>IF($S$89="нет","без дифференциации",IF($V$89=0,"",$V$89))</f>
        <v/>
      </c>
      <c s="1775">
        <f>$I$89</f>
        <v>0</v>
      </c>
      <c s="1270" t="str">
        <f>$I$89&amp;"."&amp;$M$89</f>
        <v>.</v>
      </c>
      <c s="1262" t="str">
        <f>$I$89&amp;"."&amp;$M$89&amp;"."&amp;$Q$89</f>
        <v>..</v>
      </c>
      <c s="1262" t="str">
        <f>$I$89&amp;"."&amp;$M$89&amp;"."&amp;$Q$89&amp;"."&amp;$U$89</f>
        <v>...</v>
      </c>
      <c s="1353">
        <v>0</v>
      </c>
    </row>
    <row r="90" spans="1:44" s="1856" customFormat="1" ht="17.25" customHeight="1" hidden="1">
      <c r="A90" s="324"/>
      <c r="C90" s="323"/>
      <c s="2138"/>
      <c s="2146"/>
      <c s="2149"/>
      <c s="2146"/>
      <c s="2152"/>
      <c s="2154"/>
      <c s="2156"/>
      <c s="2141"/>
      <c s="2141"/>
      <c s="2141"/>
      <c s="2143"/>
      <c s="2141"/>
      <c s="2141"/>
      <c s="2141"/>
      <c s="2144"/>
      <c s="2141"/>
      <c s="1300"/>
      <c s="1300"/>
      <c s="1300"/>
      <c s="1301"/>
      <c s="1262"/>
      <c s="1262"/>
      <c s="1262"/>
      <c s="1262"/>
      <c s="1262"/>
      <c s="1262"/>
      <c s="1262"/>
      <c s="1262"/>
      <c s="1262"/>
      <c s="1262"/>
      <c s="1262"/>
      <c s="1262"/>
      <c s="1262"/>
      <c s="1262"/>
      <c s="1262"/>
      <c s="1262"/>
      <c s="1262"/>
      <c s="1262"/>
      <c s="1262"/>
      <c s="1262"/>
      <c s="1353">
        <v>0</v>
      </c>
    </row>
    <row r="91" spans="1:44" s="1856" customFormat="1" ht="17.25" customHeight="1" hidden="1">
      <c r="A91" s="324"/>
      <c r="C91" s="323"/>
      <c s="2139"/>
      <c s="2147"/>
      <c s="2149"/>
      <c s="2147"/>
      <c s="2152"/>
      <c s="2154"/>
      <c s="2157"/>
      <c s="2141"/>
      <c s="2141"/>
      <c s="2141"/>
      <c s="2144"/>
      <c s="2141"/>
      <c s="1447"/>
      <c s="1300"/>
      <c s="1300"/>
      <c s="332"/>
      <c s="332"/>
      <c s="332"/>
      <c s="332"/>
      <c s="1301"/>
      <c s="1262"/>
      <c s="1262"/>
      <c s="1262"/>
      <c s="1262"/>
      <c s="1262"/>
      <c s="1262"/>
      <c s="1262"/>
      <c s="1262"/>
      <c s="1262"/>
      <c s="1262"/>
      <c s="1262"/>
      <c s="1262"/>
      <c s="1262"/>
      <c s="1262"/>
      <c s="1262"/>
      <c s="1262"/>
      <c s="1262"/>
      <c s="1262"/>
      <c s="1262"/>
      <c s="1262"/>
      <c s="1353">
        <v>0</v>
      </c>
    </row>
    <row r="92" spans="1:44" s="1856" customFormat="1" ht="17.25" customHeight="1" hidden="1">
      <c r="A92" s="324"/>
      <c r="C92" s="323"/>
      <c s="2139"/>
      <c s="2147"/>
      <c s="2149"/>
      <c s="2147"/>
      <c s="2152"/>
      <c s="2154"/>
      <c s="2157"/>
      <c s="2141"/>
      <c s="1300"/>
      <c s="1300"/>
      <c s="1300"/>
      <c s="1300"/>
      <c s="1300"/>
      <c s="1300"/>
      <c s="1300"/>
      <c s="332"/>
      <c s="332"/>
      <c s="332"/>
      <c s="332"/>
      <c s="1301"/>
      <c s="1262"/>
      <c s="1262"/>
      <c s="1262"/>
      <c s="1262"/>
      <c s="1262"/>
      <c s="1262"/>
      <c s="1262"/>
      <c s="1262"/>
      <c s="1262"/>
      <c s="1262"/>
      <c s="1262"/>
      <c s="1262"/>
      <c s="1262"/>
      <c s="1262"/>
      <c s="1262"/>
      <c s="1262"/>
      <c s="1262"/>
      <c s="1262"/>
      <c s="1262"/>
      <c s="1262"/>
      <c s="1353">
        <v>0</v>
      </c>
    </row>
    <row r="93" spans="1:44" s="1856" customFormat="1" ht="17.25" customHeight="1" hidden="1">
      <c r="A93" s="324"/>
      <c r="C93" s="323"/>
      <c s="2139"/>
      <c s="2147"/>
      <c s="2150"/>
      <c s="2147"/>
      <c s="1302"/>
      <c s="1303"/>
      <c s="1303"/>
      <c s="1303"/>
      <c s="1303"/>
      <c s="1303"/>
      <c s="1303"/>
      <c s="1303"/>
      <c s="1303"/>
      <c s="1303"/>
      <c s="1303"/>
      <c s="1304"/>
      <c s="1304"/>
      <c s="1304"/>
      <c s="1304"/>
      <c s="1305"/>
      <c s="1262"/>
      <c s="1262"/>
      <c s="1262"/>
      <c s="1262"/>
      <c s="1262"/>
      <c s="1262"/>
      <c s="1262"/>
      <c s="1262"/>
      <c s="1262"/>
      <c s="1262"/>
      <c s="1262"/>
      <c s="1262"/>
      <c s="1262"/>
      <c s="1262"/>
      <c s="1262"/>
      <c s="1262"/>
      <c s="1262"/>
      <c s="1262"/>
      <c s="1262"/>
      <c s="1262"/>
      <c s="1353">
        <v>0</v>
      </c>
    </row>
    <row r="94" spans="1:44" s="1856" customFormat="1" ht="17.25" customHeight="1" hidden="1">
      <c r="A94" s="324"/>
      <c r="C94" s="212"/>
      <c s="2138">
        <v>4</v>
      </c>
      <c s="2146" t="s">
        <v>239</v>
      </c>
      <c s="2148" t="s">
        <v>19</v>
      </c>
      <c s="2146"/>
      <c s="2151"/>
      <c s="2153"/>
      <c s="2155"/>
      <c s="2140"/>
      <c s="2140"/>
      <c s="2140"/>
      <c s="2142"/>
      <c s="2140"/>
      <c s="2140"/>
      <c s="2140"/>
      <c s="2145"/>
      <c s="2140"/>
      <c s="1446"/>
      <c s="1446"/>
      <c s="1448"/>
      <c s="1299"/>
      <c s="1270"/>
      <c s="1270"/>
      <c s="1270"/>
      <c s="1270"/>
      <c s="1270"/>
      <c s="1270" t="s">
        <v>240</v>
      </c>
      <c s="1270" t="s">
        <v>241</v>
      </c>
      <c s="1270" t="s">
        <v>242</v>
      </c>
      <c s="1270" t="s">
        <v>243</v>
      </c>
      <c s="1270"/>
      <c s="1270" t="str">
        <f>IF($E$94=0,"",$E$94)</f>
        <v>Тариф на подвоз воды</v>
      </c>
      <c s="1270" t="str">
        <f>IF($G$94=0,"",$G$94)</f>
        <v/>
      </c>
      <c s="1270" t="str">
        <f>IF($J$94=0,"",$J$94)</f>
        <v/>
      </c>
      <c s="1270" t="str">
        <f>IF($K$94="нет","без дифференциации",IF($N$94=0,"",$N$94))</f>
        <v/>
      </c>
      <c s="1270" t="str">
        <f>IF($O$94="нет","без дифференциации",IF($R$94=0,"",$R$94))</f>
        <v/>
      </c>
      <c s="1270" t="str">
        <f>IF($S$94="нет","без дифференциации",IF($V$94=0,"",$V$94))</f>
        <v/>
      </c>
      <c s="1775">
        <f>$I$94</f>
        <v>0</v>
      </c>
      <c s="1270" t="str">
        <f>$I$94&amp;"."&amp;$M$94</f>
        <v>.</v>
      </c>
      <c s="1262" t="str">
        <f>$I$94&amp;"."&amp;$M$94&amp;"."&amp;$Q$94</f>
        <v>..</v>
      </c>
      <c s="1262" t="str">
        <f>$I$94&amp;"."&amp;$M$94&amp;"."&amp;$Q$94&amp;"."&amp;$U$94</f>
        <v>...</v>
      </c>
      <c s="1353">
        <v>0</v>
      </c>
    </row>
    <row r="95" spans="1:44" s="1856" customFormat="1" ht="17.25" customHeight="1" hidden="1">
      <c r="A95" s="324"/>
      <c r="C95" s="323"/>
      <c s="2138"/>
      <c s="2146"/>
      <c s="2149"/>
      <c s="2146"/>
      <c s="2152"/>
      <c s="2154"/>
      <c s="2156"/>
      <c s="2141"/>
      <c s="2141"/>
      <c s="2141"/>
      <c s="2143"/>
      <c s="2141"/>
      <c s="2141"/>
      <c s="2141"/>
      <c s="2144"/>
      <c s="2141"/>
      <c s="1300"/>
      <c s="1300"/>
      <c s="1300"/>
      <c s="1301"/>
      <c s="1262"/>
      <c s="1262"/>
      <c s="1262"/>
      <c s="1262"/>
      <c s="1262"/>
      <c s="1262"/>
      <c s="1262"/>
      <c s="1262"/>
      <c s="1262"/>
      <c s="1262"/>
      <c s="1262"/>
      <c s="1262"/>
      <c s="1262"/>
      <c s="1262"/>
      <c s="1262"/>
      <c s="1262"/>
      <c s="1262"/>
      <c s="1262"/>
      <c s="1262"/>
      <c s="1262"/>
      <c s="1353">
        <v>0</v>
      </c>
    </row>
    <row r="96" spans="1:44" s="1856" customFormat="1" ht="17.25" customHeight="1" hidden="1">
      <c r="A96" s="324"/>
      <c r="C96" s="323"/>
      <c s="2139"/>
      <c s="2147"/>
      <c s="2149"/>
      <c s="2147"/>
      <c s="2152"/>
      <c s="2154"/>
      <c s="2157"/>
      <c s="2141"/>
      <c s="2141"/>
      <c s="2141"/>
      <c s="2144"/>
      <c s="2141"/>
      <c s="1447"/>
      <c s="1300"/>
      <c s="1300"/>
      <c s="332"/>
      <c s="332"/>
      <c s="332"/>
      <c s="332"/>
      <c s="1301"/>
      <c s="1262"/>
      <c s="1262"/>
      <c s="1262"/>
      <c s="1262"/>
      <c s="1262"/>
      <c s="1262"/>
      <c s="1262"/>
      <c s="1262"/>
      <c s="1262"/>
      <c s="1262"/>
      <c s="1262"/>
      <c s="1262"/>
      <c s="1262"/>
      <c s="1262"/>
      <c s="1262"/>
      <c s="1262"/>
      <c s="1262"/>
      <c s="1262"/>
      <c s="1262"/>
      <c s="1262"/>
      <c s="1353">
        <v>0</v>
      </c>
    </row>
    <row r="97" spans="1:44" s="1856" customFormat="1" ht="17.25" customHeight="1" hidden="1">
      <c r="A97" s="324"/>
      <c r="C97" s="323"/>
      <c s="2139"/>
      <c s="2147"/>
      <c s="2149"/>
      <c s="2147"/>
      <c s="2152"/>
      <c s="2154"/>
      <c s="2157"/>
      <c s="2141"/>
      <c s="1300"/>
      <c s="1300"/>
      <c s="1300"/>
      <c s="1300"/>
      <c s="1300"/>
      <c s="1300"/>
      <c s="1300"/>
      <c s="332"/>
      <c s="332"/>
      <c s="332"/>
      <c s="332"/>
      <c s="1301"/>
      <c s="1262"/>
      <c s="1262"/>
      <c s="1262"/>
      <c s="1262"/>
      <c s="1262"/>
      <c s="1262"/>
      <c s="1262"/>
      <c s="1262"/>
      <c s="1262"/>
      <c s="1262"/>
      <c s="1262"/>
      <c s="1262"/>
      <c s="1262"/>
      <c s="1262"/>
      <c s="1262"/>
      <c s="1262"/>
      <c s="1262"/>
      <c s="1262"/>
      <c s="1262"/>
      <c s="1262"/>
      <c s="1353">
        <v>0</v>
      </c>
    </row>
    <row r="98" spans="1:44" s="1856" customFormat="1" ht="17.25" customHeight="1" hidden="1">
      <c r="A98" s="324"/>
      <c r="C98" s="323"/>
      <c s="2139"/>
      <c s="2147"/>
      <c s="2150"/>
      <c s="2147"/>
      <c s="1302"/>
      <c s="1303"/>
      <c s="1303"/>
      <c s="1303"/>
      <c s="1303"/>
      <c s="1303"/>
      <c s="1303"/>
      <c s="1303"/>
      <c s="1303"/>
      <c s="1303"/>
      <c s="1303"/>
      <c s="1304"/>
      <c s="1304"/>
      <c s="1304"/>
      <c s="1304"/>
      <c s="1305"/>
      <c s="1262"/>
      <c s="1262"/>
      <c s="1262"/>
      <c s="1262"/>
      <c s="1262"/>
      <c s="1262"/>
      <c s="1262"/>
      <c s="1262"/>
      <c s="1262"/>
      <c s="1262"/>
      <c s="1262"/>
      <c s="1262"/>
      <c s="1262"/>
      <c s="1262"/>
      <c s="1262"/>
      <c s="1262"/>
      <c s="1262"/>
      <c s="1262"/>
      <c s="1262"/>
      <c s="1262"/>
      <c s="1353">
        <v>0</v>
      </c>
    </row>
    <row r="99" spans="1:44" s="1856" customFormat="1" ht="17.25" customHeight="1" hidden="1">
      <c r="A99" s="324"/>
      <c r="C99" s="212"/>
      <c s="2138">
        <v>5</v>
      </c>
      <c s="2146" t="s">
        <v>244</v>
      </c>
      <c s="2148" t="s">
        <v>19</v>
      </c>
      <c s="2146"/>
      <c s="2151"/>
      <c s="2153"/>
      <c s="2155"/>
      <c s="2140"/>
      <c s="2140"/>
      <c s="2140"/>
      <c s="2142"/>
      <c s="2140"/>
      <c s="2140"/>
      <c s="2140"/>
      <c s="2145"/>
      <c s="2140"/>
      <c s="1946"/>
      <c s="1946"/>
      <c s="1948"/>
      <c s="1299"/>
      <c s="1270"/>
      <c s="1270"/>
      <c s="1270"/>
      <c s="1270"/>
      <c s="1270"/>
      <c s="1270" t="s">
        <v>245</v>
      </c>
      <c s="1270" t="s">
        <v>246</v>
      </c>
      <c s="1270" t="s">
        <v>247</v>
      </c>
      <c s="1270" t="s">
        <v>248</v>
      </c>
      <c s="1270"/>
      <c s="1270" t="str">
        <f>IF($E$99=0,"",$E$99)</f>
        <v>Тариф на подключение (технологическое присоединение) к централизованной системе холодного водоснабжения</v>
      </c>
      <c s="1270" t="str">
        <f>IF($G$99=0,"",$G$99)</f>
        <v/>
      </c>
      <c s="1270" t="str">
        <f>IF($J$99=0,"",$J$99)</f>
        <v/>
      </c>
      <c s="1270" t="str">
        <f>IF($K$99="нет","без дифференциации",IF($N$99=0,"",$N$99))</f>
        <v/>
      </c>
      <c s="1270" t="str">
        <f>IF($O$99="нет","без дифференциации",IF($R$99=0,"",$R$99))</f>
        <v/>
      </c>
      <c s="1270" t="str">
        <f>IF($S$99="нет","без дифференциации",IF($V$99=0,"",$V$99))</f>
        <v/>
      </c>
      <c s="1775">
        <f>$I$99</f>
        <v>0</v>
      </c>
      <c s="1270" t="str">
        <f>$I$99&amp;"."&amp;$M$99</f>
        <v>.</v>
      </c>
      <c s="1269" t="str">
        <f>$I$99&amp;"."&amp;$M$99&amp;"."&amp;$Q$99</f>
        <v>..</v>
      </c>
      <c s="1269" t="str">
        <f>$I$99&amp;"."&amp;$M$99&amp;"."&amp;$Q$99&amp;"."&amp;$U$99</f>
        <v>...</v>
      </c>
      <c s="1470">
        <v>0</v>
      </c>
    </row>
    <row r="100" spans="1:44" s="1856" customFormat="1" ht="17.25" customHeight="1" hidden="1">
      <c r="A100" s="324"/>
      <c r="C100" s="323"/>
      <c s="2138"/>
      <c s="2146"/>
      <c s="2149"/>
      <c s="2146"/>
      <c s="2152"/>
      <c s="2154"/>
      <c s="2156"/>
      <c s="2141"/>
      <c s="2141"/>
      <c s="2141"/>
      <c s="2143"/>
      <c s="2141"/>
      <c s="2141"/>
      <c s="2141"/>
      <c s="2144"/>
      <c s="2141"/>
      <c s="1951"/>
      <c s="1951"/>
      <c s="1951"/>
      <c s="1952"/>
      <c s="1269"/>
      <c s="1269"/>
      <c s="1269"/>
      <c s="1269"/>
      <c s="1269"/>
      <c s="1269"/>
      <c s="1269"/>
      <c s="1269"/>
      <c s="1269"/>
      <c s="1269"/>
      <c s="1269"/>
      <c s="1269"/>
      <c s="1269"/>
      <c s="1269"/>
      <c s="1269"/>
      <c s="1269"/>
      <c s="1269"/>
      <c s="1269"/>
      <c s="1269"/>
      <c s="1269"/>
      <c s="1470">
        <v>0</v>
      </c>
    </row>
    <row r="101" spans="1:44" s="1856" customFormat="1" ht="17.25" customHeight="1" hidden="1">
      <c r="A101" s="324"/>
      <c r="C101" s="323"/>
      <c s="2139"/>
      <c s="2147"/>
      <c s="2149"/>
      <c s="2147"/>
      <c s="2152"/>
      <c s="2154"/>
      <c s="2157"/>
      <c s="2141"/>
      <c s="2141"/>
      <c s="2141"/>
      <c s="2144"/>
      <c s="2141"/>
      <c s="1947"/>
      <c s="1951"/>
      <c s="1951"/>
      <c s="332"/>
      <c s="332"/>
      <c s="332"/>
      <c s="332"/>
      <c s="1952"/>
      <c s="1269"/>
      <c s="1269"/>
      <c s="1269"/>
      <c s="1269"/>
      <c s="1269"/>
      <c s="1269"/>
      <c s="1269"/>
      <c s="1269"/>
      <c s="1269"/>
      <c s="1269"/>
      <c s="1269"/>
      <c s="1269"/>
      <c s="1269"/>
      <c s="1269"/>
      <c s="1269"/>
      <c s="1269"/>
      <c s="1269"/>
      <c s="1269"/>
      <c s="1269"/>
      <c s="1269"/>
      <c s="1470">
        <v>0</v>
      </c>
    </row>
    <row r="102" spans="1:44" s="1856" customFormat="1" ht="17.25" customHeight="1" hidden="1">
      <c r="A102" s="324"/>
      <c r="C102" s="323"/>
      <c s="2139"/>
      <c s="2147"/>
      <c s="2149"/>
      <c s="2147"/>
      <c s="2152"/>
      <c s="2154"/>
      <c s="2157"/>
      <c s="2141"/>
      <c s="1951"/>
      <c s="1951"/>
      <c s="1951"/>
      <c s="1951"/>
      <c s="1951"/>
      <c s="1951"/>
      <c s="1951"/>
      <c s="332"/>
      <c s="332"/>
      <c s="332"/>
      <c s="332"/>
      <c s="1952"/>
      <c s="1269"/>
      <c s="1269"/>
      <c s="1269"/>
      <c s="1269"/>
      <c s="1269"/>
      <c s="1269"/>
      <c s="1269"/>
      <c s="1269"/>
      <c s="1269"/>
      <c s="1269"/>
      <c s="1269"/>
      <c s="1269"/>
      <c s="1269"/>
      <c s="1269"/>
      <c s="1269"/>
      <c s="1269"/>
      <c s="1269"/>
      <c s="1269"/>
      <c s="1269"/>
      <c s="1269"/>
      <c s="1470">
        <v>0</v>
      </c>
    </row>
    <row r="103" spans="1:44" s="1856" customFormat="1" ht="17.25" customHeight="1" hidden="1">
      <c r="A103" s="324"/>
      <c r="C103" s="323"/>
      <c s="2139"/>
      <c s="2147"/>
      <c s="2150"/>
      <c s="2147"/>
      <c s="1302"/>
      <c s="1949"/>
      <c s="1949"/>
      <c s="1949"/>
      <c s="1949"/>
      <c s="1949"/>
      <c s="1949"/>
      <c s="1949"/>
      <c s="1949"/>
      <c s="1949"/>
      <c s="1949"/>
      <c s="1304"/>
      <c s="1304"/>
      <c s="1304"/>
      <c s="1304"/>
      <c s="1950"/>
      <c s="1269"/>
      <c s="1269"/>
      <c s="1269"/>
      <c s="1269"/>
      <c s="1269"/>
      <c s="1269"/>
      <c s="1269"/>
      <c s="1269"/>
      <c s="1269"/>
      <c s="1269"/>
      <c s="1269"/>
      <c s="1269"/>
      <c s="1269"/>
      <c s="1269"/>
      <c s="1269"/>
      <c s="1269"/>
      <c s="1269"/>
      <c s="1269"/>
      <c s="1269"/>
      <c s="1269"/>
      <c s="1470">
        <v>0</v>
      </c>
    </row>
    <row r="104" spans="1:44" s="1856" customFormat="1" ht="11.25" customHeight="1" hidden="1">
      <c r="A104" s="280"/>
      <c s="280"/>
      <c r="Y104" s="1262"/>
      <c s="1262"/>
      <c s="1262"/>
      <c s="1262"/>
      <c s="1262"/>
      <c s="1262"/>
      <c s="1262"/>
      <c s="1262"/>
      <c s="1262"/>
      <c s="1262"/>
      <c s="1262"/>
      <c s="1262"/>
      <c s="1262"/>
      <c s="1262"/>
      <c s="1262"/>
      <c s="1262"/>
      <c s="1262"/>
      <c s="1262"/>
      <c s="1262"/>
      <c s="1470">
        <v>0</v>
      </c>
    </row>
    <row r="105" spans="1:44" s="1856" customFormat="1" ht="17.25" customHeight="1" hidden="1">
      <c r="A105" s="324"/>
      <c r="C105" s="212"/>
      <c s="2138">
        <v>1</v>
      </c>
      <c s="2146" t="s">
        <v>249</v>
      </c>
      <c s="2148" t="s">
        <v>19</v>
      </c>
      <c s="2146"/>
      <c s="2151"/>
      <c s="2153"/>
      <c s="2155"/>
      <c s="2140"/>
      <c s="2140"/>
      <c s="2140"/>
      <c s="2142"/>
      <c s="2140"/>
      <c s="2140"/>
      <c s="2140"/>
      <c s="2145"/>
      <c s="2140"/>
      <c s="1473"/>
      <c s="1473"/>
      <c s="1475"/>
      <c s="1299"/>
      <c r="Y105" s="1270"/>
      <c s="1270"/>
      <c s="1270"/>
      <c s="1270"/>
      <c s="1270" t="s">
        <v>250</v>
      </c>
      <c s="1270" t="s">
        <v>251</v>
      </c>
      <c s="1270" t="s">
        <v>252</v>
      </c>
      <c s="1270" t="s">
        <v>253</v>
      </c>
      <c s="1270"/>
      <c s="1270" t="str">
        <f>IF($E$105=0,"",$E$105)</f>
        <v>Тариф на горячую воду (горячее водоснабжение)</v>
      </c>
      <c s="1270" t="str">
        <f>IF($G$105=0,"",$G$105)</f>
        <v/>
      </c>
      <c s="1270" t="str">
        <f>IF($J$105=0,"",$J$105)</f>
        <v/>
      </c>
      <c s="1270" t="str">
        <f>IF($K$105="нет","без дифференциации",IF($N$105=0,"",$N$105))</f>
        <v/>
      </c>
      <c s="1270" t="str">
        <f>IF($O$105="нет","без дифференциации",IF($R$105=0,"",$R$105))</f>
        <v/>
      </c>
      <c s="1270" t="str">
        <f>IF($S$105="нет","без дифференциации",IF($V$105=0,"",$V$105))</f>
        <v/>
      </c>
      <c s="1270">
        <f>$I$105</f>
        <v>0</v>
      </c>
      <c s="1270" t="str">
        <f>$I$105&amp;"."&amp;$M$105</f>
        <v>.</v>
      </c>
      <c s="1270" t="str">
        <f>$I$105&amp;"."&amp;$M$105&amp;"."&amp;$Q$105</f>
        <v>..</v>
      </c>
      <c s="1270" t="str">
        <f>$I$105&amp;"."&amp;$M$105&amp;"."&amp;$Q$105&amp;"."&amp;$U$105</f>
        <v>...</v>
      </c>
      <c s="1470">
        <v>0</v>
      </c>
    </row>
    <row r="106" spans="1:44" s="1856" customFormat="1" ht="17.25" customHeight="1" hidden="1">
      <c r="A106" s="324"/>
      <c r="C106" s="323"/>
      <c s="2138"/>
      <c s="2146"/>
      <c s="2149"/>
      <c s="2146"/>
      <c s="2152"/>
      <c s="2154"/>
      <c s="2156"/>
      <c s="2141"/>
      <c s="2141"/>
      <c s="2141"/>
      <c s="2143"/>
      <c s="2141"/>
      <c s="2141"/>
      <c s="2141"/>
      <c s="2144"/>
      <c s="2141"/>
      <c s="1300"/>
      <c s="1300"/>
      <c s="1300"/>
      <c s="1301"/>
      <c r="Y106" s="1262"/>
      <c s="1262"/>
      <c s="1262"/>
      <c s="1262"/>
      <c s="1262"/>
      <c s="1262"/>
      <c s="1262"/>
      <c s="1262"/>
      <c s="1262"/>
      <c s="1262"/>
      <c s="1262"/>
      <c s="1262"/>
      <c s="1262"/>
      <c s="1262"/>
      <c s="1262"/>
      <c s="1262"/>
      <c s="1262"/>
      <c s="1262"/>
      <c s="1262"/>
      <c s="1470">
        <v>0</v>
      </c>
    </row>
    <row r="107" spans="1:44" s="1856" customFormat="1" ht="17.25" customHeight="1" hidden="1">
      <c r="A107" s="324"/>
      <c r="C107" s="212"/>
      <c s="2138"/>
      <c s="2146"/>
      <c s="2149"/>
      <c s="2146"/>
      <c s="2152"/>
      <c s="2154"/>
      <c s="2157"/>
      <c s="2141"/>
      <c s="2141"/>
      <c s="2141"/>
      <c s="2144"/>
      <c s="2141"/>
      <c s="1474"/>
      <c s="1300"/>
      <c s="1300"/>
      <c s="332"/>
      <c s="332"/>
      <c s="332"/>
      <c s="332"/>
      <c s="1301"/>
      <c r="Y107" s="1270"/>
      <c s="1270"/>
      <c s="1270"/>
      <c s="1270"/>
      <c s="1270"/>
      <c s="1270"/>
      <c s="1270"/>
      <c s="1270"/>
      <c s="1270"/>
      <c s="1270"/>
      <c s="1270"/>
      <c s="1270"/>
      <c s="1270"/>
      <c s="1270"/>
      <c s="1270"/>
      <c s="1270"/>
      <c s="1270"/>
      <c s="1270"/>
      <c s="1270"/>
      <c s="1470">
        <v>0</v>
      </c>
    </row>
    <row r="108" spans="1:44" s="1856" customFormat="1" ht="17.25" customHeight="1" hidden="1">
      <c r="A108" s="324"/>
      <c r="C108" s="323"/>
      <c s="2138"/>
      <c s="2146"/>
      <c s="2149"/>
      <c s="2146"/>
      <c s="2152"/>
      <c s="2154"/>
      <c s="2157"/>
      <c s="2141"/>
      <c s="1300"/>
      <c s="1300"/>
      <c s="1300"/>
      <c s="1300"/>
      <c s="1300"/>
      <c s="1300"/>
      <c s="1300"/>
      <c s="332"/>
      <c s="332"/>
      <c s="332"/>
      <c s="332"/>
      <c s="1301"/>
      <c r="Y108" s="1262"/>
      <c s="1262"/>
      <c s="1262"/>
      <c s="1262"/>
      <c s="1262"/>
      <c s="1262"/>
      <c s="1262"/>
      <c s="1262"/>
      <c s="1262"/>
      <c s="1262"/>
      <c s="1262"/>
      <c s="1262"/>
      <c s="1262"/>
      <c s="1262"/>
      <c s="1262"/>
      <c s="1262"/>
      <c s="1262"/>
      <c s="1262"/>
      <c s="1262"/>
      <c s="1470">
        <v>0</v>
      </c>
    </row>
    <row r="109" spans="1:44" s="1856" customFormat="1" ht="17.25" customHeight="1" hidden="1">
      <c r="A109" s="324"/>
      <c r="C109" s="323"/>
      <c s="2139"/>
      <c s="2147"/>
      <c s="2150"/>
      <c s="2147"/>
      <c s="1302"/>
      <c s="1303"/>
      <c s="1303"/>
      <c s="1303"/>
      <c s="1303"/>
      <c s="1303"/>
      <c s="1303"/>
      <c s="1303"/>
      <c s="1303"/>
      <c s="1303"/>
      <c s="1303"/>
      <c s="1304"/>
      <c s="1304"/>
      <c s="1304"/>
      <c s="1304"/>
      <c s="1305"/>
      <c r="Y109" s="1262"/>
      <c s="1262"/>
      <c s="1262"/>
      <c s="1262"/>
      <c s="1262"/>
      <c s="1262"/>
      <c s="1262"/>
      <c s="1262"/>
      <c s="1262"/>
      <c s="1262"/>
      <c s="1262"/>
      <c s="1262"/>
      <c s="1262"/>
      <c s="1262"/>
      <c s="1262"/>
      <c s="1262"/>
      <c s="1262"/>
      <c s="1262"/>
      <c s="1262"/>
      <c s="1470">
        <v>0</v>
      </c>
    </row>
    <row r="110" spans="1:44" s="1856" customFormat="1" ht="17.25" customHeight="1" hidden="1">
      <c r="A110" s="324"/>
      <c r="C110" s="212"/>
      <c s="2138">
        <v>2</v>
      </c>
      <c s="2146" t="s">
        <v>254</v>
      </c>
      <c s="2148" t="s">
        <v>19</v>
      </c>
      <c s="2146"/>
      <c s="2151"/>
      <c s="2153"/>
      <c s="2155"/>
      <c s="2140"/>
      <c s="2140"/>
      <c s="2140"/>
      <c s="2142"/>
      <c s="2140"/>
      <c s="2140"/>
      <c s="2140"/>
      <c s="2145"/>
      <c s="2140"/>
      <c s="1473"/>
      <c s="1473"/>
      <c s="1475"/>
      <c s="1299"/>
      <c s="1270"/>
      <c s="1270"/>
      <c s="1270"/>
      <c s="1270"/>
      <c s="1270"/>
      <c s="1270" t="s">
        <v>255</v>
      </c>
      <c s="1270" t="s">
        <v>256</v>
      </c>
      <c s="1270" t="s">
        <v>257</v>
      </c>
      <c s="1270" t="s">
        <v>258</v>
      </c>
      <c s="1270"/>
      <c s="1270" t="str">
        <f>IF($E$110=0,"",$E$110)</f>
        <v>Тариф на транспортировку горячей воды</v>
      </c>
      <c s="1270" t="str">
        <f>IF($G$110=0,"",$G$110)</f>
        <v/>
      </c>
      <c s="1270" t="str">
        <f>IF($J$110=0,"",$J$110)</f>
        <v/>
      </c>
      <c s="1270" t="str">
        <f>IF($K$110="нет","без дифференциации",IF($N$110=0,"",$N$110))</f>
        <v/>
      </c>
      <c s="1270" t="str">
        <f>IF($O$110="нет","без дифференциации",IF($R$110=0,"",$R$110))</f>
        <v/>
      </c>
      <c s="1270" t="str">
        <f>IF($S$110="нет","без дифференциации",IF($V$110=0,"",$V$110))</f>
        <v/>
      </c>
      <c s="1775">
        <f>$I$110</f>
        <v>0</v>
      </c>
      <c s="1270" t="str">
        <f>$I$110&amp;"."&amp;$M$110</f>
        <v>.</v>
      </c>
      <c s="1262" t="str">
        <f>$I$110&amp;"."&amp;$M$110&amp;"."&amp;$Q$110</f>
        <v>..</v>
      </c>
      <c s="1262" t="str">
        <f>$I$110&amp;"."&amp;$M$110&amp;"."&amp;$Q$110&amp;"."&amp;$U$110</f>
        <v>...</v>
      </c>
      <c s="1470">
        <v>0</v>
      </c>
    </row>
    <row r="111" spans="1:44" s="1856" customFormat="1" ht="17.25" customHeight="1" hidden="1">
      <c r="A111" s="324"/>
      <c r="C111" s="323"/>
      <c s="2138"/>
      <c s="2146"/>
      <c s="2149"/>
      <c s="2146"/>
      <c s="2152"/>
      <c s="2154"/>
      <c s="2156"/>
      <c s="2141"/>
      <c s="2141"/>
      <c s="2141"/>
      <c s="2143"/>
      <c s="2141"/>
      <c s="2141"/>
      <c s="2141"/>
      <c s="2144"/>
      <c s="2141"/>
      <c s="1300"/>
      <c s="1300"/>
      <c s="1300"/>
      <c s="1301"/>
      <c s="1262"/>
      <c s="1262"/>
      <c s="1262"/>
      <c s="1262"/>
      <c s="1262"/>
      <c s="1262"/>
      <c s="1262"/>
      <c s="1262"/>
      <c s="1262"/>
      <c s="1262"/>
      <c s="1262"/>
      <c s="1262"/>
      <c s="1262"/>
      <c s="1262"/>
      <c s="1262"/>
      <c s="1262"/>
      <c s="1262"/>
      <c s="1262"/>
      <c s="1262"/>
      <c s="1262"/>
      <c s="1470">
        <v>0</v>
      </c>
    </row>
    <row r="112" spans="1:44" s="1856" customFormat="1" ht="17.25" customHeight="1" hidden="1">
      <c r="A112" s="324"/>
      <c r="C112" s="323"/>
      <c s="2139"/>
      <c s="2147"/>
      <c s="2149"/>
      <c s="2147"/>
      <c s="2152"/>
      <c s="2154"/>
      <c s="2157"/>
      <c s="2141"/>
      <c s="2141"/>
      <c s="2141"/>
      <c s="2144"/>
      <c s="2141"/>
      <c s="1474"/>
      <c s="1300"/>
      <c s="1300"/>
      <c s="332"/>
      <c s="332"/>
      <c s="332"/>
      <c s="332"/>
      <c s="1301"/>
      <c s="1262"/>
      <c s="1262"/>
      <c s="1262"/>
      <c s="1262"/>
      <c s="1262"/>
      <c s="1262"/>
      <c s="1262"/>
      <c s="1262"/>
      <c s="1262"/>
      <c s="1262"/>
      <c s="1262"/>
      <c s="1262"/>
      <c s="1262"/>
      <c s="1262"/>
      <c s="1262"/>
      <c s="1262"/>
      <c s="1262"/>
      <c s="1262"/>
      <c s="1262"/>
      <c s="1262"/>
      <c s="1470">
        <v>0</v>
      </c>
    </row>
    <row r="113" spans="1:44" s="1856" customFormat="1" ht="17.25" customHeight="1" hidden="1">
      <c r="A113" s="324"/>
      <c r="C113" s="323"/>
      <c s="2139"/>
      <c s="2147"/>
      <c s="2149"/>
      <c s="2147"/>
      <c s="2152"/>
      <c s="2154"/>
      <c s="2157"/>
      <c s="2141"/>
      <c s="1300"/>
      <c s="1300"/>
      <c s="1300"/>
      <c s="1300"/>
      <c s="1300"/>
      <c s="1300"/>
      <c s="1300"/>
      <c s="332"/>
      <c s="332"/>
      <c s="332"/>
      <c s="332"/>
      <c s="1301"/>
      <c s="1262"/>
      <c s="1262"/>
      <c s="1262"/>
      <c s="1262"/>
      <c s="1262"/>
      <c s="1262"/>
      <c s="1262"/>
      <c s="1262"/>
      <c s="1262"/>
      <c s="1262"/>
      <c s="1262"/>
      <c s="1262"/>
      <c s="1262"/>
      <c s="1262"/>
      <c s="1262"/>
      <c s="1262"/>
      <c s="1262"/>
      <c s="1262"/>
      <c s="1262"/>
      <c s="1262"/>
      <c s="1470">
        <v>0</v>
      </c>
    </row>
    <row r="114" spans="1:44" s="1856" customFormat="1" ht="17.25" customHeight="1" hidden="1">
      <c r="A114" s="324"/>
      <c r="C114" s="323"/>
      <c s="2139"/>
      <c s="2147"/>
      <c s="2150"/>
      <c s="2147"/>
      <c s="1302"/>
      <c s="1303"/>
      <c s="1303"/>
      <c s="1303"/>
      <c s="1303"/>
      <c s="1303"/>
      <c s="1303"/>
      <c s="1303"/>
      <c s="1303"/>
      <c s="1303"/>
      <c s="1303"/>
      <c s="1304"/>
      <c s="1304"/>
      <c s="1304"/>
      <c s="1304"/>
      <c s="1305"/>
      <c s="1262"/>
      <c s="1262"/>
      <c s="1262"/>
      <c s="1262"/>
      <c s="1262"/>
      <c s="1262"/>
      <c s="1262"/>
      <c s="1262"/>
      <c s="1262"/>
      <c s="1262"/>
      <c s="1262"/>
      <c s="1262"/>
      <c s="1262"/>
      <c s="1262"/>
      <c s="1262"/>
      <c s="1262"/>
      <c s="1262"/>
      <c s="1262"/>
      <c s="1262"/>
      <c s="1262"/>
      <c s="1470">
        <v>0</v>
      </c>
    </row>
    <row r="115" spans="1:44" s="1856" customFormat="1" ht="17.25" customHeight="1" hidden="1">
      <c r="A115" s="324"/>
      <c r="C115" s="212"/>
      <c s="2138">
        <v>3</v>
      </c>
      <c s="2146" t="s">
        <v>259</v>
      </c>
      <c s="2148" t="s">
        <v>19</v>
      </c>
      <c s="2146"/>
      <c s="2151"/>
      <c s="2153"/>
      <c s="2155"/>
      <c s="2140"/>
      <c s="2140"/>
      <c s="2140"/>
      <c s="2142"/>
      <c s="2140"/>
      <c s="2140"/>
      <c s="2140"/>
      <c s="2145"/>
      <c s="2140"/>
      <c s="1946"/>
      <c s="1946"/>
      <c s="1948"/>
      <c s="1299"/>
      <c s="1270"/>
      <c s="1270"/>
      <c s="1270"/>
      <c s="1270"/>
      <c s="1270"/>
      <c s="1270" t="s">
        <v>260</v>
      </c>
      <c s="1270" t="s">
        <v>261</v>
      </c>
      <c s="1270" t="s">
        <v>262</v>
      </c>
      <c s="1270" t="s">
        <v>263</v>
      </c>
      <c s="1270"/>
      <c s="1270" t="str">
        <f>IF($E$115=0,"",$E$115)</f>
        <v>Тариф на подключение (технологическое присоединение) к централизованной системе горячего водоснабжения</v>
      </c>
      <c s="1270" t="str">
        <f>IF($G$115=0,"",$G$115)</f>
        <v/>
      </c>
      <c s="1270" t="str">
        <f>IF($J$115=0,"",$J$115)</f>
        <v/>
      </c>
      <c s="1270" t="str">
        <f>IF($K$115="нет","без дифференциации",IF($N$115=0,"",$N$115))</f>
        <v/>
      </c>
      <c s="1270" t="str">
        <f>IF($O$115="нет","без дифференциации",IF($R$115=0,"",$R$115))</f>
        <v/>
      </c>
      <c s="1270" t="str">
        <f>IF($S$115="нет","без дифференциации",IF($V$115=0,"",$V$115))</f>
        <v/>
      </c>
      <c s="1775">
        <f>$I$115</f>
        <v>0</v>
      </c>
      <c s="1270" t="str">
        <f>$I$115&amp;"."&amp;$M$115</f>
        <v>.</v>
      </c>
      <c s="1269" t="str">
        <f>$I$115&amp;"."&amp;$M$115&amp;"."&amp;$Q$115</f>
        <v>..</v>
      </c>
      <c s="1269" t="str">
        <f>$I$115&amp;"."&amp;$M$115&amp;"."&amp;$Q$115&amp;"."&amp;$U$115</f>
        <v>...</v>
      </c>
      <c s="1470">
        <v>0</v>
      </c>
    </row>
    <row r="116" spans="1:44" s="1856" customFormat="1" ht="17.25" customHeight="1" hidden="1">
      <c r="A116" s="324"/>
      <c r="C116" s="323"/>
      <c s="2138"/>
      <c s="2146"/>
      <c s="2149"/>
      <c s="2146"/>
      <c s="2152"/>
      <c s="2154"/>
      <c s="2156"/>
      <c s="2141"/>
      <c s="2141"/>
      <c s="2141"/>
      <c s="2143"/>
      <c s="2141"/>
      <c s="2141"/>
      <c s="2141"/>
      <c s="2144"/>
      <c s="2141"/>
      <c s="1951"/>
      <c s="1951"/>
      <c s="1951"/>
      <c s="1952"/>
      <c s="1269"/>
      <c s="1269"/>
      <c s="1269"/>
      <c s="1269"/>
      <c s="1269"/>
      <c s="1269"/>
      <c s="1269"/>
      <c s="1269"/>
      <c s="1269"/>
      <c s="1269"/>
      <c s="1269"/>
      <c s="1269"/>
      <c s="1269"/>
      <c s="1269"/>
      <c s="1269"/>
      <c s="1269"/>
      <c s="1269"/>
      <c s="1269"/>
      <c s="1269"/>
      <c s="1269"/>
      <c s="1470">
        <v>0</v>
      </c>
    </row>
    <row r="117" spans="1:44" s="1856" customFormat="1" ht="17.25" customHeight="1" hidden="1">
      <c r="A117" s="324"/>
      <c r="C117" s="323"/>
      <c s="2139"/>
      <c s="2147"/>
      <c s="2149"/>
      <c s="2147"/>
      <c s="2152"/>
      <c s="2154"/>
      <c s="2157"/>
      <c s="2141"/>
      <c s="2141"/>
      <c s="2141"/>
      <c s="2144"/>
      <c s="2141"/>
      <c s="1947"/>
      <c s="1951"/>
      <c s="1951"/>
      <c s="332"/>
      <c s="332"/>
      <c s="332"/>
      <c s="332"/>
      <c s="1952"/>
      <c s="1269"/>
      <c s="1269"/>
      <c s="1269"/>
      <c s="1269"/>
      <c s="1269"/>
      <c s="1269"/>
      <c s="1269"/>
      <c s="1269"/>
      <c s="1269"/>
      <c s="1269"/>
      <c s="1269"/>
      <c s="1269"/>
      <c s="1269"/>
      <c s="1269"/>
      <c s="1269"/>
      <c s="1269"/>
      <c s="1269"/>
      <c s="1269"/>
      <c s="1269"/>
      <c s="1269"/>
      <c s="1470">
        <v>0</v>
      </c>
    </row>
    <row r="118" spans="1:44" s="1856" customFormat="1" ht="17.25" customHeight="1" hidden="1">
      <c r="A118" s="324"/>
      <c r="C118" s="323"/>
      <c s="2139"/>
      <c s="2147"/>
      <c s="2149"/>
      <c s="2147"/>
      <c s="2152"/>
      <c s="2154"/>
      <c s="2157"/>
      <c s="2141"/>
      <c s="1951"/>
      <c s="1951"/>
      <c s="1951"/>
      <c s="1951"/>
      <c s="1951"/>
      <c s="1951"/>
      <c s="1951"/>
      <c s="332"/>
      <c s="332"/>
      <c s="332"/>
      <c s="332"/>
      <c s="1952"/>
      <c s="1269"/>
      <c s="1269"/>
      <c s="1269"/>
      <c s="1269"/>
      <c s="1269"/>
      <c s="1269"/>
      <c s="1269"/>
      <c s="1269"/>
      <c s="1269"/>
      <c s="1269"/>
      <c s="1269"/>
      <c s="1269"/>
      <c s="1269"/>
      <c s="1269"/>
      <c s="1269"/>
      <c s="1269"/>
      <c s="1269"/>
      <c s="1269"/>
      <c s="1269"/>
      <c s="1269"/>
      <c s="1470">
        <v>0</v>
      </c>
    </row>
    <row r="119" spans="1:44" s="1856" customFormat="1" ht="17.25" customHeight="1" hidden="1">
      <c r="A119" s="324"/>
      <c r="C119" s="323"/>
      <c s="2139"/>
      <c s="2147"/>
      <c s="2150"/>
      <c s="2147"/>
      <c s="1302"/>
      <c s="1949"/>
      <c s="1949"/>
      <c s="1949"/>
      <c s="1949"/>
      <c s="1949"/>
      <c s="1949"/>
      <c s="1949"/>
      <c s="1949"/>
      <c s="1949"/>
      <c s="1949"/>
      <c s="1304"/>
      <c s="1304"/>
      <c s="1304"/>
      <c s="1304"/>
      <c s="1950"/>
      <c s="1269"/>
      <c s="1269"/>
      <c s="1269"/>
      <c s="1269"/>
      <c s="1269"/>
      <c s="1269"/>
      <c s="1269"/>
      <c s="1269"/>
      <c s="1269"/>
      <c s="1269"/>
      <c s="1269"/>
      <c s="1269"/>
      <c s="1269"/>
      <c s="1269"/>
      <c s="1269"/>
      <c s="1269"/>
      <c s="1269"/>
      <c s="1269"/>
      <c s="1269"/>
      <c s="1269"/>
      <c s="1470">
        <v>0</v>
      </c>
    </row>
    <row r="120" spans="1:44" s="1856" customFormat="1" ht="11.25" customHeight="1" hidden="1">
      <c r="A120" s="280"/>
      <c s="280"/>
      <c r="Y120" s="1262"/>
      <c s="1262"/>
      <c s="1262"/>
      <c s="1262"/>
      <c s="1262"/>
      <c s="1262"/>
      <c s="1262"/>
      <c s="1262"/>
      <c s="1262"/>
      <c s="1262"/>
      <c s="1262"/>
      <c s="1262"/>
      <c s="1262"/>
      <c s="1262"/>
      <c s="1262"/>
      <c s="1262"/>
      <c s="1262"/>
      <c s="1262"/>
      <c s="1262"/>
      <c s="1470">
        <v>0</v>
      </c>
    </row>
    <row r="121" spans="1:44" s="1856" customFormat="1" ht="17.25" customHeight="1" hidden="1">
      <c r="A121" s="324"/>
      <c r="C121" s="212"/>
      <c s="2138">
        <v>1</v>
      </c>
      <c s="2146" t="s">
        <v>264</v>
      </c>
      <c s="2148" t="s">
        <v>19</v>
      </c>
      <c s="2146"/>
      <c s="2151"/>
      <c s="2153"/>
      <c s="2155"/>
      <c s="2140"/>
      <c s="2140"/>
      <c s="2140"/>
      <c s="2142"/>
      <c s="2140"/>
      <c s="2140"/>
      <c s="2140"/>
      <c s="2145"/>
      <c s="2140"/>
      <c s="1473"/>
      <c s="1473"/>
      <c s="1475"/>
      <c s="1299"/>
      <c r="Y121" s="1270"/>
      <c s="1270"/>
      <c s="1270"/>
      <c s="1270"/>
      <c s="1270" t="s">
        <v>265</v>
      </c>
      <c s="1270" t="s">
        <v>266</v>
      </c>
      <c s="1270" t="s">
        <v>267</v>
      </c>
      <c s="1270" t="s">
        <v>268</v>
      </c>
      <c s="1270"/>
      <c s="1270" t="str">
        <f>IF($E$121=0,"",$E$121)</f>
        <v>Тариф на водоотведение</v>
      </c>
      <c s="1270" t="str">
        <f>IF($G$121=0,"",$G$121)</f>
        <v/>
      </c>
      <c s="1270" t="str">
        <f>IF($J$121=0,"",$J$121)</f>
        <v/>
      </c>
      <c s="1270" t="str">
        <f>IF($K$121="нет","без дифференциации",IF($N$121=0,"",$N$121))</f>
        <v/>
      </c>
      <c s="1270" t="str">
        <f>IF($O$121="нет","без дифференциации",IF($R$121=0,"",$R$121))</f>
        <v/>
      </c>
      <c s="1270" t="str">
        <f>IF($S$121="нет","без дифференциации",IF($V$121=0,"",$V$121))</f>
        <v/>
      </c>
      <c s="1270">
        <f>$I$121</f>
        <v>0</v>
      </c>
      <c s="1270" t="str">
        <f>$I$121&amp;"."&amp;$M$121</f>
        <v>.</v>
      </c>
      <c s="1270" t="str">
        <f>$I$121&amp;"."&amp;$M$121&amp;"."&amp;$Q$121</f>
        <v>..</v>
      </c>
      <c s="1270" t="str">
        <f>$I$121&amp;"."&amp;$M$121&amp;"."&amp;$Q$121&amp;"."&amp;$U$121</f>
        <v>...</v>
      </c>
      <c s="1470">
        <v>0</v>
      </c>
    </row>
    <row r="122" spans="1:44" s="1856" customFormat="1" ht="17.25" customHeight="1" hidden="1">
      <c r="A122" s="324"/>
      <c r="C122" s="323"/>
      <c s="2138"/>
      <c s="2146"/>
      <c s="2149"/>
      <c s="2146"/>
      <c s="2152"/>
      <c s="2154"/>
      <c s="2156"/>
      <c s="2141"/>
      <c s="2141"/>
      <c s="2141"/>
      <c s="2143"/>
      <c s="2141"/>
      <c s="2141"/>
      <c s="2141"/>
      <c s="2144"/>
      <c s="2141"/>
      <c s="1300"/>
      <c s="1300"/>
      <c s="1300"/>
      <c s="1301"/>
      <c r="Y122" s="1262"/>
      <c s="1262"/>
      <c s="1262"/>
      <c s="1262"/>
      <c s="1262"/>
      <c s="1262"/>
      <c s="1262"/>
      <c s="1262"/>
      <c s="1262"/>
      <c s="1262"/>
      <c s="1262"/>
      <c s="1262"/>
      <c s="1262"/>
      <c s="1262"/>
      <c s="1262"/>
      <c s="1262"/>
      <c s="1262"/>
      <c s="1262"/>
      <c s="1262"/>
      <c s="1470">
        <v>0</v>
      </c>
    </row>
    <row r="123" spans="1:44" s="1856" customFormat="1" ht="17.25" customHeight="1" hidden="1">
      <c r="A123" s="324"/>
      <c r="C123" s="212"/>
      <c s="2138"/>
      <c s="2146"/>
      <c s="2149"/>
      <c s="2146"/>
      <c s="2152"/>
      <c s="2154"/>
      <c s="2157"/>
      <c s="2141"/>
      <c s="2141"/>
      <c s="2141"/>
      <c s="2144"/>
      <c s="2141"/>
      <c s="1474"/>
      <c s="1300"/>
      <c s="1300"/>
      <c s="332"/>
      <c s="332"/>
      <c s="332"/>
      <c s="332"/>
      <c s="1301"/>
      <c r="Y123" s="1270"/>
      <c s="1270"/>
      <c s="1270"/>
      <c s="1270"/>
      <c s="1270"/>
      <c s="1270"/>
      <c s="1270"/>
      <c s="1270"/>
      <c s="1270"/>
      <c s="1270"/>
      <c s="1270"/>
      <c s="1270"/>
      <c s="1270"/>
      <c s="1270"/>
      <c s="1270"/>
      <c s="1270"/>
      <c s="1270"/>
      <c s="1270"/>
      <c s="1270"/>
      <c s="1470">
        <v>0</v>
      </c>
    </row>
    <row r="124" spans="1:44" s="1856" customFormat="1" ht="17.25" customHeight="1" hidden="1">
      <c r="A124" s="324"/>
      <c r="C124" s="323"/>
      <c s="2138"/>
      <c s="2146"/>
      <c s="2149"/>
      <c s="2146"/>
      <c s="2152"/>
      <c s="2154"/>
      <c s="2157"/>
      <c s="2141"/>
      <c s="1300"/>
      <c s="1300"/>
      <c s="1300"/>
      <c s="1300"/>
      <c s="1300"/>
      <c s="1300"/>
      <c s="1300"/>
      <c s="332"/>
      <c s="332"/>
      <c s="332"/>
      <c s="332"/>
      <c s="1301"/>
      <c r="Y124" s="1262"/>
      <c s="1262"/>
      <c s="1262"/>
      <c s="1262"/>
      <c s="1262"/>
      <c s="1262"/>
      <c s="1262"/>
      <c s="1262"/>
      <c s="1262"/>
      <c s="1262"/>
      <c s="1262"/>
      <c s="1262"/>
      <c s="1262"/>
      <c s="1262"/>
      <c s="1262"/>
      <c s="1262"/>
      <c s="1262"/>
      <c s="1262"/>
      <c s="1262"/>
      <c s="1470">
        <v>0</v>
      </c>
    </row>
    <row r="125" spans="1:44" s="1856" customFormat="1" ht="17.25" customHeight="1" hidden="1">
      <c r="A125" s="324"/>
      <c r="C125" s="323"/>
      <c s="2139"/>
      <c s="2147"/>
      <c s="2150"/>
      <c s="2147"/>
      <c s="1302"/>
      <c s="1303"/>
      <c s="1303"/>
      <c s="1303"/>
      <c s="1303"/>
      <c s="1303"/>
      <c s="1303"/>
      <c s="1303"/>
      <c s="1303"/>
      <c s="1303"/>
      <c s="1303"/>
      <c s="1304"/>
      <c s="1304"/>
      <c s="1304"/>
      <c s="1304"/>
      <c s="1305"/>
      <c r="Y125" s="1262"/>
      <c s="1262"/>
      <c s="1262"/>
      <c s="1262"/>
      <c s="1262"/>
      <c s="1262"/>
      <c s="1262"/>
      <c s="1262"/>
      <c s="1262"/>
      <c s="1262"/>
      <c s="1262"/>
      <c s="1262"/>
      <c s="1262"/>
      <c s="1262"/>
      <c s="1262"/>
      <c s="1262"/>
      <c s="1262"/>
      <c s="1262"/>
      <c s="1262"/>
      <c s="1470">
        <v>0</v>
      </c>
    </row>
    <row r="126" spans="1:44" s="1856" customFormat="1" ht="17.25" customHeight="1" hidden="1">
      <c r="A126" s="324"/>
      <c r="C126" s="212"/>
      <c s="2138">
        <v>2</v>
      </c>
      <c s="2146" t="s">
        <v>269</v>
      </c>
      <c s="2148" t="s">
        <v>19</v>
      </c>
      <c s="2146"/>
      <c s="2151"/>
      <c s="2153"/>
      <c s="2155"/>
      <c s="2140"/>
      <c s="2140"/>
      <c s="2140"/>
      <c s="2142"/>
      <c s="2140"/>
      <c s="2140"/>
      <c s="2140"/>
      <c s="2145"/>
      <c s="2140"/>
      <c s="1473"/>
      <c s="1473"/>
      <c s="1475"/>
      <c s="1299"/>
      <c s="1270"/>
      <c s="1270"/>
      <c s="1270"/>
      <c s="1270"/>
      <c s="1270"/>
      <c s="1270" t="s">
        <v>270</v>
      </c>
      <c s="1270" t="s">
        <v>271</v>
      </c>
      <c s="1270" t="s">
        <v>272</v>
      </c>
      <c s="1270" t="s">
        <v>273</v>
      </c>
      <c s="1270"/>
      <c s="1270" t="str">
        <f>IF($E$126=0,"",$E$126)</f>
        <v>Тариф на транспортировку сточных вод</v>
      </c>
      <c s="1270" t="str">
        <f>IF($G$126=0,"",$G$126)</f>
        <v/>
      </c>
      <c s="1270" t="str">
        <f>IF($J$126=0,"",$J$126)</f>
        <v/>
      </c>
      <c s="1270" t="str">
        <f>IF($K$126="нет","без дифференциации",IF($N$126=0,"",$N$126))</f>
        <v/>
      </c>
      <c s="1270" t="str">
        <f>IF($O$126="нет","без дифференциации",IF($R$126=0,"",$R$126))</f>
        <v/>
      </c>
      <c s="1270" t="str">
        <f>IF($S$126="нет","без дифференциации",IF($V$126=0,"",$V$126))</f>
        <v/>
      </c>
      <c s="1775">
        <f>$I$126</f>
        <v>0</v>
      </c>
      <c s="1270" t="str">
        <f>$I$126&amp;"."&amp;$M$126</f>
        <v>.</v>
      </c>
      <c s="1262" t="str">
        <f>$I$126&amp;"."&amp;$M$126&amp;"."&amp;$Q$126</f>
        <v>..</v>
      </c>
      <c s="1262" t="str">
        <f>$I$126&amp;"."&amp;$M$126&amp;"."&amp;$Q$126&amp;"."&amp;$U$126</f>
        <v>...</v>
      </c>
      <c s="1470">
        <v>0</v>
      </c>
    </row>
    <row r="127" spans="1:44" s="1856" customFormat="1" ht="17.25" customHeight="1" hidden="1">
      <c r="A127" s="324"/>
      <c r="C127" s="323"/>
      <c s="2138"/>
      <c s="2146"/>
      <c s="2149"/>
      <c s="2146"/>
      <c s="2152"/>
      <c s="2154"/>
      <c s="2156"/>
      <c s="2141"/>
      <c s="2141"/>
      <c s="2141"/>
      <c s="2143"/>
      <c s="2141"/>
      <c s="2141"/>
      <c s="2141"/>
      <c s="2144"/>
      <c s="2141"/>
      <c s="1300"/>
      <c s="1300"/>
      <c s="1300"/>
      <c s="1301"/>
      <c s="1262"/>
      <c s="1262"/>
      <c s="1262"/>
      <c s="1262"/>
      <c s="1262"/>
      <c s="1262"/>
      <c s="1262"/>
      <c s="1262"/>
      <c s="1262"/>
      <c s="1262"/>
      <c s="1262"/>
      <c s="1262"/>
      <c s="1262"/>
      <c s="1262"/>
      <c s="1262"/>
      <c s="1262"/>
      <c s="1262"/>
      <c s="1262"/>
      <c s="1262"/>
      <c s="1262"/>
      <c s="1470">
        <v>0</v>
      </c>
    </row>
    <row r="128" spans="1:44" s="1856" customFormat="1" ht="17.25" customHeight="1" hidden="1">
      <c r="A128" s="324"/>
      <c r="C128" s="323"/>
      <c s="2139"/>
      <c s="2147"/>
      <c s="2149"/>
      <c s="2147"/>
      <c s="2152"/>
      <c s="2154"/>
      <c s="2157"/>
      <c s="2141"/>
      <c s="2141"/>
      <c s="2141"/>
      <c s="2144"/>
      <c s="2141"/>
      <c s="1474"/>
      <c s="1300"/>
      <c s="1300"/>
      <c s="332"/>
      <c s="332"/>
      <c s="332"/>
      <c s="332"/>
      <c s="1301"/>
      <c s="1262"/>
      <c s="1262"/>
      <c s="1262"/>
      <c s="1262"/>
      <c s="1262"/>
      <c s="1262"/>
      <c s="1262"/>
      <c s="1262"/>
      <c s="1262"/>
      <c s="1262"/>
      <c s="1262"/>
      <c s="1262"/>
      <c s="1262"/>
      <c s="1262"/>
      <c s="1262"/>
      <c s="1262"/>
      <c s="1262"/>
      <c s="1262"/>
      <c s="1262"/>
      <c s="1262"/>
      <c s="1470">
        <v>0</v>
      </c>
    </row>
    <row r="129" spans="1:44" s="1856" customFormat="1" ht="17.25" customHeight="1" hidden="1">
      <c r="A129" s="324"/>
      <c r="C129" s="323"/>
      <c s="2139"/>
      <c s="2147"/>
      <c s="2149"/>
      <c s="2147"/>
      <c s="2152"/>
      <c s="2154"/>
      <c s="2157"/>
      <c s="2141"/>
      <c s="1300"/>
      <c s="1300"/>
      <c s="1300"/>
      <c s="1300"/>
      <c s="1300"/>
      <c s="1300"/>
      <c s="1300"/>
      <c s="332"/>
      <c s="332"/>
      <c s="332"/>
      <c s="332"/>
      <c s="1301"/>
      <c s="1262"/>
      <c s="1262"/>
      <c s="1262"/>
      <c s="1262"/>
      <c s="1262"/>
      <c s="1262"/>
      <c s="1262"/>
      <c s="1262"/>
      <c s="1262"/>
      <c s="1262"/>
      <c s="1262"/>
      <c s="1262"/>
      <c s="1262"/>
      <c s="1262"/>
      <c s="1262"/>
      <c s="1262"/>
      <c s="1262"/>
      <c s="1262"/>
      <c s="1262"/>
      <c s="1262"/>
      <c s="1470">
        <v>0</v>
      </c>
    </row>
    <row r="130" spans="1:44" s="1856" customFormat="1" ht="17.25" customHeight="1" hidden="1">
      <c r="A130" s="324"/>
      <c r="C130" s="323"/>
      <c s="2139"/>
      <c s="2147"/>
      <c s="2150"/>
      <c s="2147"/>
      <c s="1302"/>
      <c s="1303"/>
      <c s="1303"/>
      <c s="1303"/>
      <c s="1303"/>
      <c s="1303"/>
      <c s="1303"/>
      <c s="1303"/>
      <c s="1303"/>
      <c s="1303"/>
      <c s="1303"/>
      <c s="1304"/>
      <c s="1304"/>
      <c s="1304"/>
      <c s="1304"/>
      <c s="1305"/>
      <c s="1262"/>
      <c s="1262"/>
      <c s="1262"/>
      <c s="1262"/>
      <c s="1262"/>
      <c s="1262"/>
      <c s="1262"/>
      <c s="1262"/>
      <c s="1262"/>
      <c s="1262"/>
      <c s="1262"/>
      <c s="1262"/>
      <c s="1262"/>
      <c s="1262"/>
      <c s="1262"/>
      <c s="1262"/>
      <c s="1262"/>
      <c s="1262"/>
      <c s="1262"/>
      <c s="1262"/>
      <c s="1470">
        <v>0</v>
      </c>
    </row>
    <row r="131" spans="1:44" s="1856" customFormat="1" ht="17.25" customHeight="1" hidden="1">
      <c r="A131" s="324"/>
      <c r="C131" s="212"/>
      <c s="2138">
        <v>3</v>
      </c>
      <c s="2146" t="s">
        <v>274</v>
      </c>
      <c s="2148" t="s">
        <v>19</v>
      </c>
      <c s="2146"/>
      <c s="2151"/>
      <c s="2153"/>
      <c s="2155"/>
      <c s="2140"/>
      <c s="2140"/>
      <c s="2140"/>
      <c s="2142"/>
      <c s="2140"/>
      <c s="2140"/>
      <c s="2140"/>
      <c s="2145"/>
      <c s="2140"/>
      <c s="1946"/>
      <c s="1946"/>
      <c s="1948"/>
      <c s="1299"/>
      <c s="1270"/>
      <c s="1270"/>
      <c s="1270"/>
      <c s="1270"/>
      <c s="1270"/>
      <c s="1270" t="s">
        <v>275</v>
      </c>
      <c s="1270" t="s">
        <v>276</v>
      </c>
      <c s="1270" t="s">
        <v>277</v>
      </c>
      <c s="1270" t="s">
        <v>278</v>
      </c>
      <c s="1270"/>
      <c s="1270" t="str">
        <f>IF($E$131=0,"",$E$131)</f>
        <v>Тариф на подключение (технологическое присоединение) к централизованной системе водоотведения</v>
      </c>
      <c s="1270" t="str">
        <f>IF($G$131=0,"",$G$131)</f>
        <v/>
      </c>
      <c s="1270" t="str">
        <f>IF($J$131=0,"",$J$131)</f>
        <v/>
      </c>
      <c s="1270" t="str">
        <f>IF($K$131="нет","без дифференциации",IF($N$131=0,"",$N$131))</f>
        <v/>
      </c>
      <c s="1270" t="str">
        <f>IF($O$131="нет","без дифференциации",IF($R$131=0,"",$R$131))</f>
        <v/>
      </c>
      <c s="1270" t="str">
        <f>IF($S$131="нет","без дифференциации",IF($V$131=0,"",$V$131))</f>
        <v/>
      </c>
      <c s="1775">
        <f>$I$131</f>
        <v>0</v>
      </c>
      <c s="1270" t="str">
        <f>$I$131&amp;"."&amp;$M$131</f>
        <v>.</v>
      </c>
      <c s="1269" t="str">
        <f>$I$131&amp;"."&amp;$M$131&amp;"."&amp;$Q$131</f>
        <v>..</v>
      </c>
      <c s="1269" t="str">
        <f>$I$131&amp;"."&amp;$M$131&amp;"."&amp;$Q$131&amp;"."&amp;$U$131</f>
        <v>...</v>
      </c>
      <c s="1470">
        <v>0</v>
      </c>
    </row>
    <row r="132" spans="1:44" s="1856" customFormat="1" ht="17.25" customHeight="1" hidden="1">
      <c r="A132" s="324"/>
      <c r="C132" s="323"/>
      <c s="2138"/>
      <c s="2146"/>
      <c s="2149"/>
      <c s="2146"/>
      <c s="2152"/>
      <c s="2154"/>
      <c s="2156"/>
      <c s="2141"/>
      <c s="2141"/>
      <c s="2141"/>
      <c s="2143"/>
      <c s="2141"/>
      <c s="2141"/>
      <c s="2141"/>
      <c s="2144"/>
      <c s="2141"/>
      <c s="1951"/>
      <c s="1951"/>
      <c s="1951"/>
      <c s="1952"/>
      <c s="1269"/>
      <c s="1269"/>
      <c s="1269"/>
      <c s="1269"/>
      <c s="1269"/>
      <c s="1269"/>
      <c s="1269"/>
      <c s="1269"/>
      <c s="1269"/>
      <c s="1269"/>
      <c s="1269"/>
      <c s="1269"/>
      <c s="1269"/>
      <c s="1269"/>
      <c s="1269"/>
      <c s="1269"/>
      <c s="1269"/>
      <c s="1269"/>
      <c s="1269"/>
      <c s="1269"/>
      <c s="1470">
        <v>0</v>
      </c>
    </row>
    <row r="133" spans="1:44" s="1856" customFormat="1" ht="17.25" customHeight="1" hidden="1">
      <c r="A133" s="324"/>
      <c r="C133" s="323"/>
      <c s="2139"/>
      <c s="2147"/>
      <c s="2149"/>
      <c s="2147"/>
      <c s="2152"/>
      <c s="2154"/>
      <c s="2157"/>
      <c s="2141"/>
      <c s="2141"/>
      <c s="2141"/>
      <c s="2144"/>
      <c s="2141"/>
      <c s="1947"/>
      <c s="1951"/>
      <c s="1951"/>
      <c s="332"/>
      <c s="332"/>
      <c s="332"/>
      <c s="332"/>
      <c s="1952"/>
      <c s="1269"/>
      <c s="1269"/>
      <c s="1269"/>
      <c s="1269"/>
      <c s="1269"/>
      <c s="1269"/>
      <c s="1269"/>
      <c s="1269"/>
      <c s="1269"/>
      <c s="1269"/>
      <c s="1269"/>
      <c s="1269"/>
      <c s="1269"/>
      <c s="1269"/>
      <c s="1269"/>
      <c s="1269"/>
      <c s="1269"/>
      <c s="1269"/>
      <c s="1269"/>
      <c s="1269"/>
      <c s="1470">
        <v>0</v>
      </c>
    </row>
    <row r="134" spans="1:44" s="1856" customFormat="1" ht="17.25" customHeight="1" hidden="1">
      <c r="A134" s="324"/>
      <c r="C134" s="323"/>
      <c s="2139"/>
      <c s="2147"/>
      <c s="2149"/>
      <c s="2147"/>
      <c s="2152"/>
      <c s="2154"/>
      <c s="2157"/>
      <c s="2141"/>
      <c s="1951"/>
      <c s="1951"/>
      <c s="1951"/>
      <c s="1951"/>
      <c s="1951"/>
      <c s="1951"/>
      <c s="1951"/>
      <c s="332"/>
      <c s="332"/>
      <c s="332"/>
      <c s="332"/>
      <c s="1952"/>
      <c s="1269"/>
      <c s="1269"/>
      <c s="1269"/>
      <c s="1269"/>
      <c s="1269"/>
      <c s="1269"/>
      <c s="1269"/>
      <c s="1269"/>
      <c s="1269"/>
      <c s="1269"/>
      <c s="1269"/>
      <c s="1269"/>
      <c s="1269"/>
      <c s="1269"/>
      <c s="1269"/>
      <c s="1269"/>
      <c s="1269"/>
      <c s="1269"/>
      <c s="1269"/>
      <c s="1269"/>
      <c s="1470">
        <v>0</v>
      </c>
    </row>
    <row r="135" spans="1:44" s="1856" customFormat="1" ht="17.25" customHeight="1" hidden="1">
      <c r="A135" s="324"/>
      <c r="C135" s="323"/>
      <c s="2139"/>
      <c s="2147"/>
      <c s="2150"/>
      <c s="2147"/>
      <c s="1302"/>
      <c s="1949"/>
      <c s="1949"/>
      <c s="1949"/>
      <c s="1949"/>
      <c s="1949"/>
      <c s="1949"/>
      <c s="1949"/>
      <c s="1949"/>
      <c s="1949"/>
      <c s="1949"/>
      <c s="1304"/>
      <c s="1304"/>
      <c s="1304"/>
      <c s="1304"/>
      <c s="1950"/>
      <c s="1269"/>
      <c s="1269"/>
      <c s="1269"/>
      <c s="1269"/>
      <c s="1269"/>
      <c s="1269"/>
      <c s="1269"/>
      <c s="1269"/>
      <c s="1269"/>
      <c s="1269"/>
      <c s="1269"/>
      <c s="1269"/>
      <c s="1269"/>
      <c s="1269"/>
      <c s="1269"/>
      <c s="1269"/>
      <c s="1269"/>
      <c s="1269"/>
      <c s="1269"/>
      <c s="1269"/>
      <c s="1470">
        <v>0</v>
      </c>
    </row>
    <row r="136" spans="44:44" ht="11.55" customHeight="1">
      <c r="AR136" s="107">
        <v>11</v>
      </c>
    </row>
    <row r="137" spans="44:44" ht="11.55" customHeight="1">
      <c r="AR137" s="107">
        <v>11</v>
      </c>
    </row>
    <row r="138" spans="44:44" ht="11.55" customHeight="1">
      <c r="AR138" s="107">
        <v>11</v>
      </c>
    </row>
    <row r="139" spans="5:5 44:44" ht="11.55" customHeight="1">
      <c r="E139" s="1353"/>
      <c r="AR139" s="107">
        <v>11</v>
      </c>
    </row>
    <row r="140" spans="5:5 44:44" ht="11.55" customHeight="1">
      <c r="E140" s="1353"/>
      <c r="AR140" s="107">
        <v>11</v>
      </c>
    </row>
    <row r="141" spans="5:5 44:44" ht="11.55" customHeight="1">
      <c r="E141" s="1353"/>
      <c r="AR141" s="107">
        <v>11</v>
      </c>
    </row>
    <row r="142" spans="5:5 44:44" ht="11.55" customHeight="1">
      <c r="E142" s="1353"/>
      <c r="AR142" s="107">
        <v>11</v>
      </c>
    </row>
    <row r="143" spans="5:5 44:44" ht="11.55" customHeight="1">
      <c r="E143" s="1353"/>
      <c r="AR143" s="107">
        <v>11</v>
      </c>
    </row>
    <row r="144" spans="5:5 44:44" ht="11.55" customHeight="1">
      <c r="E144" s="1353"/>
      <c r="AR144" s="107">
        <v>11</v>
      </c>
    </row>
    <row r="145" spans="5:5 44:44" ht="11.55" customHeight="1">
      <c r="E145" s="1353"/>
      <c r="AR145" s="107">
        <v>11</v>
      </c>
    </row>
    <row r="146" spans="1:44" ht="11.25" customHeight="1" hidden="1">
      <c r="A146" s="156" t="s">
        <v>81</v>
      </c>
      <c s="156">
        <v>0</v>
      </c>
      <c s="107">
        <v>3</v>
      </c>
      <c s="107">
        <v>6</v>
      </c>
      <c s="107">
        <v>42</v>
      </c>
      <c s="1286">
        <v>14</v>
      </c>
      <c s="107">
        <v>42</v>
      </c>
      <c s="107">
        <v>3</v>
      </c>
      <c s="107">
        <v>5</v>
      </c>
      <c s="107">
        <v>47</v>
      </c>
      <c s="107">
        <v>3</v>
      </c>
      <c s="107">
        <v>3</v>
      </c>
      <c s="107">
        <v>5</v>
      </c>
      <c s="107">
        <v>28</v>
      </c>
      <c s="107">
        <v>3</v>
      </c>
      <c s="107">
        <v>3</v>
      </c>
      <c s="107">
        <v>5</v>
      </c>
      <c s="107">
        <v>34</v>
      </c>
      <c s="285">
        <v>0</v>
      </c>
      <c s="285">
        <v>0</v>
      </c>
      <c s="285">
        <v>0</v>
      </c>
      <c s="285">
        <v>0</v>
      </c>
      <c s="107">
        <v>30</v>
      </c>
      <c s="107">
        <v>3</v>
      </c>
      <c s="1262">
        <v>0</v>
      </c>
      <c s="1262">
        <v>0</v>
      </c>
      <c s="1262">
        <v>0</v>
      </c>
      <c s="1262">
        <v>0</v>
      </c>
      <c s="1262">
        <v>0</v>
      </c>
      <c s="1262">
        <v>0</v>
      </c>
      <c s="1262">
        <v>0</v>
      </c>
      <c s="1262">
        <v>0</v>
      </c>
      <c s="1262">
        <v>0</v>
      </c>
      <c s="1262">
        <v>0</v>
      </c>
      <c s="1262">
        <v>0</v>
      </c>
      <c s="1262">
        <v>0</v>
      </c>
      <c s="1262">
        <v>0</v>
      </c>
      <c s="1262">
        <v>0</v>
      </c>
      <c s="1262">
        <v>0</v>
      </c>
      <c s="1262">
        <v>0</v>
      </c>
      <c s="1262">
        <v>0</v>
      </c>
      <c s="1262">
        <v>0</v>
      </c>
      <c s="1262">
        <v>0</v>
      </c>
      <c s="107">
        <v>11</v>
      </c>
    </row>
  </sheetData>
  <sheetProtection formatColumns="0" formatRows="0" insertRows="0" deleteColumns="0" deleteRows="0" sort="0" autoFilter="0"/>
  <mergeCells count="379">
    <mergeCell ref="R23:R24"/>
    <mergeCell ref="S23:S24"/>
    <mergeCell ref="G23:G27"/>
    <mergeCell ref="H23:H26"/>
    <mergeCell ref="I23:I26"/>
    <mergeCell ref="J23:J26"/>
    <mergeCell ref="K23:K26"/>
    <mergeCell ref="L23:L25"/>
    <mergeCell ref="M23:M25"/>
    <mergeCell ref="N23:N25"/>
    <mergeCell ref="O23:O25"/>
    <mergeCell ref="M131:M133"/>
    <mergeCell ref="N131:N133"/>
    <mergeCell ref="O131:O133"/>
    <mergeCell ref="P131:P132"/>
    <mergeCell ref="Q131:Q132"/>
    <mergeCell ref="R131:R132"/>
    <mergeCell ref="S131:S132"/>
    <mergeCell ref="D131:D135"/>
    <mergeCell ref="E131:E135"/>
    <mergeCell ref="F131:F135"/>
    <mergeCell ref="G131:G135"/>
    <mergeCell ref="H131:H134"/>
    <mergeCell ref="I131:I134"/>
    <mergeCell ref="J131:J134"/>
    <mergeCell ref="K131:K134"/>
    <mergeCell ref="L131:L133"/>
    <mergeCell ref="N99:N101"/>
    <mergeCell ref="O99:O101"/>
    <mergeCell ref="P99:P100"/>
    <mergeCell ref="Q99:Q100"/>
    <mergeCell ref="R99:R100"/>
    <mergeCell ref="S99:S100"/>
    <mergeCell ref="D115:D119"/>
    <mergeCell ref="E115:E119"/>
    <mergeCell ref="F115:F119"/>
    <mergeCell ref="G115:G119"/>
    <mergeCell ref="H115:H118"/>
    <mergeCell ref="I115:I118"/>
    <mergeCell ref="J115:J118"/>
    <mergeCell ref="K115:K118"/>
    <mergeCell ref="L115:L117"/>
    <mergeCell ref="M115:M117"/>
    <mergeCell ref="N115:N117"/>
    <mergeCell ref="O115:O117"/>
    <mergeCell ref="P115:P116"/>
    <mergeCell ref="Q115:Q116"/>
    <mergeCell ref="R115:R116"/>
    <mergeCell ref="S115:S116"/>
    <mergeCell ref="D99:D103"/>
    <mergeCell ref="E99:E103"/>
    <mergeCell ref="F99:F103"/>
    <mergeCell ref="G99:G103"/>
    <mergeCell ref="H99:H102"/>
    <mergeCell ref="I99:I102"/>
    <mergeCell ref="J99:J102"/>
    <mergeCell ref="K99:K102"/>
    <mergeCell ref="L99:L101"/>
    <mergeCell ref="S126:S127"/>
    <mergeCell ref="D126:D130"/>
    <mergeCell ref="E126:E130"/>
    <mergeCell ref="F126:F130"/>
    <mergeCell ref="G126:G130"/>
    <mergeCell ref="H126:H129"/>
    <mergeCell ref="I126:I129"/>
    <mergeCell ref="J126:J129"/>
    <mergeCell ref="K126:K129"/>
    <mergeCell ref="L126:L128"/>
    <mergeCell ref="H121:H124"/>
    <mergeCell ref="I121:I124"/>
    <mergeCell ref="J121:J124"/>
    <mergeCell ref="K121:K124"/>
    <mergeCell ref="L121:L123"/>
    <mergeCell ref="M121:M123"/>
    <mergeCell ref="N121:N123"/>
    <mergeCell ref="M126:M128"/>
    <mergeCell ref="N126:N128"/>
    <mergeCell ref="O126:O128"/>
    <mergeCell ref="P121:P122"/>
    <mergeCell ref="Q121:Q122"/>
    <mergeCell ref="R121:R122"/>
    <mergeCell ref="P126:P127"/>
    <mergeCell ref="Q126:Q127"/>
    <mergeCell ref="R126:R127"/>
    <mergeCell ref="S121:S122"/>
    <mergeCell ref="D121:D125"/>
    <mergeCell ref="E121:E125"/>
    <mergeCell ref="F121:F125"/>
    <mergeCell ref="G121:G125"/>
    <mergeCell ref="M110:M112"/>
    <mergeCell ref="N110:N112"/>
    <mergeCell ref="O110:O112"/>
    <mergeCell ref="P110:P111"/>
    <mergeCell ref="Q110:Q111"/>
    <mergeCell ref="R110:R111"/>
    <mergeCell ref="S110:S111"/>
    <mergeCell ref="D110:D114"/>
    <mergeCell ref="E110:E114"/>
    <mergeCell ref="F110:F114"/>
    <mergeCell ref="G110:G114"/>
    <mergeCell ref="H110:H113"/>
    <mergeCell ref="I110:I113"/>
    <mergeCell ref="J110:J113"/>
    <mergeCell ref="K110:K113"/>
    <mergeCell ref="L110:L112"/>
    <mergeCell ref="O121:O123"/>
    <mergeCell ref="R13:R14"/>
    <mergeCell ref="S13:S14"/>
    <mergeCell ref="M48:M50"/>
    <mergeCell ref="N48:N50"/>
    <mergeCell ref="O48:O50"/>
    <mergeCell ref="N38:N40"/>
    <mergeCell ref="D105:D109"/>
    <mergeCell ref="E105:E109"/>
    <mergeCell ref="F105:F109"/>
    <mergeCell ref="G105:G109"/>
    <mergeCell ref="H105:H108"/>
    <mergeCell ref="I105:I108"/>
    <mergeCell ref="J105:J108"/>
    <mergeCell ref="K105:K108"/>
    <mergeCell ref="L105:L107"/>
    <mergeCell ref="P53:P54"/>
    <mergeCell ref="Q53:Q54"/>
    <mergeCell ref="R53:R54"/>
    <mergeCell ref="S53:S54"/>
    <mergeCell ref="P48:P49"/>
    <mergeCell ref="Q48:Q49"/>
    <mergeCell ref="R48:R49"/>
    <mergeCell ref="S48:S49"/>
    <mergeCell ref="S28:S29"/>
    <mergeCell ref="S18:S19"/>
    <mergeCell ref="M105:M107"/>
    <mergeCell ref="N105:N107"/>
    <mergeCell ref="O105:O107"/>
    <mergeCell ref="P105:P106"/>
    <mergeCell ref="Q105:Q106"/>
    <mergeCell ref="R105:R106"/>
    <mergeCell ref="S105:S106"/>
    <mergeCell ref="O53:O55"/>
    <mergeCell ref="E77:W77"/>
    <mergeCell ref="E69:W69"/>
    <mergeCell ref="E70:W70"/>
    <mergeCell ref="E71:W71"/>
    <mergeCell ref="E72:W72"/>
    <mergeCell ref="E73:W73"/>
    <mergeCell ref="L79:L81"/>
    <mergeCell ref="M79:M81"/>
    <mergeCell ref="E75:W75"/>
    <mergeCell ref="E76:W76"/>
    <mergeCell ref="K89:K92"/>
    <mergeCell ref="E43:E47"/>
    <mergeCell ref="F43:F47"/>
    <mergeCell ref="H43:H46"/>
    <mergeCell ref="G43:G47"/>
    <mergeCell ref="G33:G37"/>
    <mergeCell ref="K33:K36"/>
    <mergeCell ref="S33:S34"/>
    <mergeCell ref="S38:S39"/>
    <mergeCell ref="S43:S44"/>
    <mergeCell ref="O33:O35"/>
    <mergeCell ref="E38:E42"/>
    <mergeCell ref="F38:F42"/>
    <mergeCell ref="H38:H41"/>
    <mergeCell ref="L33:L35"/>
    <mergeCell ref="M33:M35"/>
    <mergeCell ref="P38:P39"/>
    <mergeCell ref="Q38:Q39"/>
    <mergeCell ref="R38:R39"/>
    <mergeCell ref="P33:P34"/>
    <mergeCell ref="D38:D42"/>
    <mergeCell ref="Q33:Q34"/>
    <mergeCell ref="R33:R34"/>
    <mergeCell ref="D48:D52"/>
    <mergeCell ref="E48:E52"/>
    <mergeCell ref="F48:F52"/>
    <mergeCell ref="G48:G52"/>
    <mergeCell ref="H48:H51"/>
    <mergeCell ref="I48:I51"/>
    <mergeCell ref="J48:J51"/>
    <mergeCell ref="K48:K51"/>
    <mergeCell ref="L48:L50"/>
    <mergeCell ref="D33:D37"/>
    <mergeCell ref="E33:E37"/>
    <mergeCell ref="F33:F37"/>
    <mergeCell ref="H33:H36"/>
    <mergeCell ref="I33:I36"/>
    <mergeCell ref="N33:N35"/>
    <mergeCell ref="P43:P44"/>
    <mergeCell ref="O38:O40"/>
    <mergeCell ref="Q43:Q44"/>
    <mergeCell ref="R43:R44"/>
    <mergeCell ref="O43:O45"/>
    <mergeCell ref="J33:J36"/>
    <mergeCell ref="D53:D57"/>
    <mergeCell ref="E53:E57"/>
    <mergeCell ref="F53:F57"/>
    <mergeCell ref="H53:H56"/>
    <mergeCell ref="N43:N45"/>
    <mergeCell ref="G38:G42"/>
    <mergeCell ref="K38:K41"/>
    <mergeCell ref="G53:G57"/>
    <mergeCell ref="K53:K56"/>
    <mergeCell ref="N53:N55"/>
    <mergeCell ref="I53:I56"/>
    <mergeCell ref="J53:J56"/>
    <mergeCell ref="L53:L55"/>
    <mergeCell ref="M53:M55"/>
    <mergeCell ref="L43:L45"/>
    <mergeCell ref="M43:M45"/>
    <mergeCell ref="K43:K46"/>
    <mergeCell ref="D43:D47"/>
    <mergeCell ref="I43:I46"/>
    <mergeCell ref="J43:J46"/>
    <mergeCell ref="I38:I41"/>
    <mergeCell ref="J38:J41"/>
    <mergeCell ref="L38:L40"/>
    <mergeCell ref="M38:M40"/>
    <mergeCell ref="D18:D22"/>
    <mergeCell ref="E18:E22"/>
    <mergeCell ref="F18:F22"/>
    <mergeCell ref="Q18:Q19"/>
    <mergeCell ref="R18:R19"/>
    <mergeCell ref="M28:M30"/>
    <mergeCell ref="R28:R29"/>
    <mergeCell ref="O28:O30"/>
    <mergeCell ref="H18:H21"/>
    <mergeCell ref="I18:I21"/>
    <mergeCell ref="J18:J21"/>
    <mergeCell ref="D28:D32"/>
    <mergeCell ref="E28:E32"/>
    <mergeCell ref="F28:F32"/>
    <mergeCell ref="H28:H31"/>
    <mergeCell ref="I28:I31"/>
    <mergeCell ref="J28:J31"/>
    <mergeCell ref="G28:G32"/>
    <mergeCell ref="L18:L20"/>
    <mergeCell ref="M18:M20"/>
    <mergeCell ref="N18:N20"/>
    <mergeCell ref="D23:D27"/>
    <mergeCell ref="E23:E27"/>
    <mergeCell ref="F23:F27"/>
    <mergeCell ref="L10:M10"/>
    <mergeCell ref="P10:Q10"/>
    <mergeCell ref="L11:M11"/>
    <mergeCell ref="P11:Q11"/>
    <mergeCell ref="K28:K31"/>
    <mergeCell ref="L28:L30"/>
    <mergeCell ref="P13:P14"/>
    <mergeCell ref="P28:P29"/>
    <mergeCell ref="Q28:Q29"/>
    <mergeCell ref="P18:P19"/>
    <mergeCell ref="O18:O20"/>
    <mergeCell ref="L13:L15"/>
    <mergeCell ref="M13:M15"/>
    <mergeCell ref="N13:N15"/>
    <mergeCell ref="O13:O15"/>
    <mergeCell ref="Q13:Q14"/>
    <mergeCell ref="P23:P24"/>
    <mergeCell ref="Q23:Q24"/>
    <mergeCell ref="D5:J5"/>
    <mergeCell ref="D9:D10"/>
    <mergeCell ref="D7:J7"/>
    <mergeCell ref="G9:G10"/>
    <mergeCell ref="H9:I10"/>
    <mergeCell ref="D6:J6"/>
    <mergeCell ref="D13:D17"/>
    <mergeCell ref="E13:E17"/>
    <mergeCell ref="G13:G17"/>
    <mergeCell ref="H13:H16"/>
    <mergeCell ref="J9:J10"/>
    <mergeCell ref="H11:I11"/>
    <mergeCell ref="E9:F9"/>
    <mergeCell ref="F13:F17"/>
    <mergeCell ref="I13:I16"/>
    <mergeCell ref="J13:J16"/>
    <mergeCell ref="W9:W10"/>
    <mergeCell ref="O9:R9"/>
    <mergeCell ref="K9:N9"/>
    <mergeCell ref="T11:U11"/>
    <mergeCell ref="S9:V9"/>
    <mergeCell ref="T10:U10"/>
    <mergeCell ref="D79:D83"/>
    <mergeCell ref="E79:E83"/>
    <mergeCell ref="D84:D88"/>
    <mergeCell ref="E84:E88"/>
    <mergeCell ref="F84:F88"/>
    <mergeCell ref="G84:G88"/>
    <mergeCell ref="H84:H87"/>
    <mergeCell ref="I84:I87"/>
    <mergeCell ref="J84:J87"/>
    <mergeCell ref="F79:F83"/>
    <mergeCell ref="G79:G83"/>
    <mergeCell ref="H79:H82"/>
    <mergeCell ref="I79:I82"/>
    <mergeCell ref="J79:J82"/>
    <mergeCell ref="K13:K16"/>
    <mergeCell ref="G18:G22"/>
    <mergeCell ref="K18:K21"/>
    <mergeCell ref="N28:N30"/>
    <mergeCell ref="L89:L91"/>
    <mergeCell ref="Q84:Q85"/>
    <mergeCell ref="R84:R85"/>
    <mergeCell ref="S84:S85"/>
    <mergeCell ref="K84:K87"/>
    <mergeCell ref="K79:K82"/>
    <mergeCell ref="N84:N86"/>
    <mergeCell ref="O84:O86"/>
    <mergeCell ref="P84:P85"/>
    <mergeCell ref="S89:S90"/>
    <mergeCell ref="N89:N91"/>
    <mergeCell ref="O89:O91"/>
    <mergeCell ref="P89:P90"/>
    <mergeCell ref="Q89:Q90"/>
    <mergeCell ref="R89:R90"/>
    <mergeCell ref="L84:L86"/>
    <mergeCell ref="N79:N81"/>
    <mergeCell ref="O79:O81"/>
    <mergeCell ref="P79:P80"/>
    <mergeCell ref="Q79:Q80"/>
    <mergeCell ref="R79:R80"/>
    <mergeCell ref="S79:S80"/>
    <mergeCell ref="M84:M86"/>
    <mergeCell ref="M94:M96"/>
    <mergeCell ref="N94:N96"/>
    <mergeCell ref="O94:O96"/>
    <mergeCell ref="P94:P95"/>
    <mergeCell ref="Q94:Q95"/>
    <mergeCell ref="R94:R95"/>
    <mergeCell ref="S94:S95"/>
    <mergeCell ref="D89:D93"/>
    <mergeCell ref="E89:E93"/>
    <mergeCell ref="M89:M91"/>
    <mergeCell ref="D94:D98"/>
    <mergeCell ref="E94:E98"/>
    <mergeCell ref="F94:F98"/>
    <mergeCell ref="G94:G98"/>
    <mergeCell ref="H94:H97"/>
    <mergeCell ref="I94:I97"/>
    <mergeCell ref="J94:J97"/>
    <mergeCell ref="K94:K97"/>
    <mergeCell ref="L94:L96"/>
    <mergeCell ref="F89:F93"/>
    <mergeCell ref="G89:G93"/>
    <mergeCell ref="H89:H92"/>
    <mergeCell ref="I89:I92"/>
    <mergeCell ref="J89:J92"/>
    <mergeCell ref="S63:S64"/>
    <mergeCell ref="E58:E62"/>
    <mergeCell ref="F58:F62"/>
    <mergeCell ref="G58:G62"/>
    <mergeCell ref="H58:H61"/>
    <mergeCell ref="I58:I61"/>
    <mergeCell ref="J58:J61"/>
    <mergeCell ref="K58:K61"/>
    <mergeCell ref="L58:L60"/>
    <mergeCell ref="D58:D62"/>
    <mergeCell ref="M99:M101"/>
    <mergeCell ref="M58:M60"/>
    <mergeCell ref="N58:N60"/>
    <mergeCell ref="O58:O60"/>
    <mergeCell ref="P58:P59"/>
    <mergeCell ref="Q58:Q59"/>
    <mergeCell ref="R58:R59"/>
    <mergeCell ref="S58:S59"/>
    <mergeCell ref="D63:D67"/>
    <mergeCell ref="E63:E67"/>
    <mergeCell ref="F63:F67"/>
    <mergeCell ref="G63:G67"/>
    <mergeCell ref="H63:H66"/>
    <mergeCell ref="I63:I66"/>
    <mergeCell ref="J63:J66"/>
    <mergeCell ref="K63:K66"/>
    <mergeCell ref="L63:L65"/>
    <mergeCell ref="M63:M65"/>
    <mergeCell ref="N63:N65"/>
    <mergeCell ref="O63:O65"/>
    <mergeCell ref="P63:P64"/>
    <mergeCell ref="Q63:Q64"/>
    <mergeCell ref="R63:R64"/>
  </mergeCells>
  <dataValidations count="5">
    <dataValidation type="list" allowBlank="1" showInputMessage="1" showErrorMessage="1" prompt="Выберите значение из списка" errorTitle="Ошибка" error="Выберите значение из списка" sqref="E18:E22">
      <formula1>kind_of_tariff_RHEAT</formula1>
    </dataValidation>
    <dataValidation allowBlank="1" showInputMessage="1" showErrorMessage="1" prompt="Выберите виды деятельности, выполнив двойной щелчок левой кнопки мыши по ячейке." sqref="G13:G67 G105:G119 G121:G135 G79:G103"/>
    <dataValidation type="list"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errorTitle="Ошибка" error="Выберите значение из списка" sqref="N13:N15 N48:N50 N18:N20 N43:N45 N28:N30 N38:N40 N33:N35 N79:N81 N94:N96 N84:N86 N89:N91 N53:N55 N105:N107 N110:N112 N126:N128 N121:N123 N58:N60 N63:N65 N99:N101 N115:N117 N131:N133 N23:N25">
      <formula1>DESCRIPTION_TERRITORY</formula1>
    </dataValidation>
    <dataValidation type="textLength" operator="lessThanOrEqual" allowBlank="1" showInputMessage="1" showErrorMessage="1" errorTitle="Ошибка" error="Допускается ввод не более 900 символов!" sqref="J13:J14 J38:J39 J48:J49 R48:R49 V48:W48 J18:J19 J43:J44 J28:J29 R38:R39 R13:R14 R18:R19 R43:R44 R28:R29 V38:W38 V13:W13 V18:W18 V43:W43 V28:W28 J33:J34 R33:R34 V33:W33 J79:J80 R79:R80 V79:W79 J84:J85 R84:R85 V84:W84 J94:J95 R94:R95 V94:W94 J89:J90 R89:R90 V89:W89 J53:J54 R53:R54 V53:W53 J105:J106 R105:R106 V105:W105 J110:J111 R110:R111 V110:W110 J126:J127 R126:R127 V126:W126 J121:J122 R121:R122 V121:W121 J58:J59 R58:R59 V58:W58 J63:J64 R63:R64 V63:W63 J99:J100 R99:R100 V99:W99 J115:J116 R115:R116 V115:W115 J131:J132 R131:R132 V131:W131 J23:J24 R23:R24 V23:W23">
      <formula1>900</formula1>
    </dataValidation>
    <dataValidation allowBlank="1" showInputMessage="1" showErrorMessage="1" prompt="Для выбора выполните двойной щелчок левой клавиши мыши по соответствующей ячейке." sqref="F13:F67 K38:K39 K13:K14 K48:K49 O48:O49 S48:S49 K18:K19 K43:K44 K28:K29 O38:O39 O18:O19 O43:O44 O28:O29 S38:S39 S18:S19 S43:S44 S28:S29 O13:O14 S13:S14 K33:K34 O33:O34 S33:S34 K79:K80 O79:O80 S79:S80 K84:K85 O84:O85 S84:S85 K94:K95 O94:O95 S94:S95 K89:K90 O89:O90 S53:S54 S89:S90 K53:K54 O53:O54 O131:O132 O105:O106 S105:S106 O110:O111 S110:S111 K105:K106 K110:K111 S99:S100 K126:K127 O126:O127 K121:K122 O121:O122 S126:S127 O115:O116 S121:S122 O58:O59 S58:S59 K58:K59 K63:K64 O63:O64 S63:S64 F79:F103 K99:K100 O99:O100 F105:F119 S115:S116 K115:K116 F121:F135 S131:S132 K131:K132 K23:K24 O23:O24 S23:S24"/>
  </dataValidations>
  <pageMargins left="0.7" right="0.7" top="0.75" bottom="0.75" header="0.3" footer="0.3"/>
  <pageSetup orientation="portrait" paperSize="9"/>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m="http://schemas.microsoft.com/office/excel/2006/main" xmlns:x14ac="http://schemas.microsoft.com/office/spreadsheetml/2009/9/ac" xmlns:xr="http://schemas.microsoft.com/office/spreadsheetml/2014/revision" xmlns:xr2="http://schemas.microsoft.com/office/spreadsheetml/2015/revision2" xmlns:xr3="http://schemas.microsoft.com/office/spreadsheetml/2016/revision3" xr:uid="{809E0115-6FF3-01C1-F24A-BC5FCFA2CED4}" mc:Ignorable="x14ac xr xr2 xr3">
  <sheetPr>
    <tabColor rgb="FFCCCCFF"/>
  </sheetPr>
  <dimension ref="A1:BM50"/>
  <sheetViews>
    <sheetView showGridLines="0" zoomScale="90" zoomScaleNormal="90" workbookViewId="0" topLeftCell="A1">
      <pane xSplit="10" ySplit="10" topLeftCell="K11" activePane="bottomRight" state="frozen"/>
      <selection pane="topLeft" activeCell="A1" sqref="A1"/>
      <selection pane="bottomLeft" activeCell="A11" sqref="A11"/>
      <selection pane="topRight" activeCell="K1" sqref="K1"/>
      <selection pane="bottomRight" activeCell="A1" sqref="A1"/>
    </sheetView>
  </sheetViews>
  <sheetFormatPr defaultColWidth="9.14428571428571" defaultRowHeight="11.25" customHeight="1"/>
  <cols>
    <col min="1" max="2" width="9.14285714285714" style="1853" hidden="1"/>
    <col min="3" max="4" width="3" style="1853" customWidth="1"/>
    <col min="5" max="6" width="15" style="1853" customWidth="1"/>
    <col min="7" max="7" width="11.5714285714286" style="1853" customWidth="1"/>
    <col min="8" max="9" width="3" style="1853" customWidth="1"/>
    <col min="10" max="10" width="12" style="1853" customWidth="1"/>
    <col min="11" max="11" width="0.285714285714286" style="1853" customWidth="1"/>
    <col min="12" max="13" width="10" style="1853" customWidth="1"/>
    <col min="14" max="15" width="3" style="1853" customWidth="1"/>
    <col min="16" max="16" width="19" style="1853" customWidth="1"/>
    <col min="17" max="17" width="0.285714285714286" style="1853" customWidth="1"/>
    <col min="18" max="19" width="10" style="1853" customWidth="1"/>
    <col min="20" max="21" width="3" style="1853" customWidth="1"/>
    <col min="22" max="22" width="25" style="1853" customWidth="1"/>
    <col min="23" max="23" width="0.285714285714286" style="1853" customWidth="1"/>
    <col min="24" max="25" width="10" style="1853" customWidth="1"/>
    <col min="26" max="27" width="3" style="1853" customWidth="1"/>
    <col min="28" max="28" width="16" style="1853" customWidth="1"/>
    <col min="29" max="29" width="0.285714285714286" style="1853" customWidth="1"/>
    <col min="30" max="31" width="10" style="1853" customWidth="1"/>
    <col min="32" max="33" width="3" style="1853" customWidth="1"/>
    <col min="34" max="34" width="8" style="1853" customWidth="1"/>
    <col min="35" max="35" width="21" style="1853" customWidth="1"/>
    <col min="36" max="36" width="8" style="1853" customWidth="1"/>
    <col min="37" max="37" width="8" style="361" customWidth="1"/>
    <col min="38" max="64" width="8" style="1853" customWidth="1"/>
    <col min="65" max="65" width="9.14285714285714" style="1853" hidden="1"/>
  </cols>
  <sheetData>
    <row r="1" spans="36:65" s="1319" customFormat="1" ht="11.25" customHeight="1" hidden="1">
      <c r="AJ1" s="425"/>
      <c s="425"/>
      <c s="425"/>
      <c s="425"/>
      <c s="425"/>
      <c s="425"/>
      <c s="425"/>
      <c s="425"/>
      <c s="425"/>
      <c s="425"/>
      <c s="425"/>
      <c s="425"/>
      <c s="425"/>
      <c s="425"/>
      <c s="425"/>
      <c s="425"/>
      <c s="425"/>
      <c s="425"/>
      <c s="425"/>
      <c s="425"/>
      <c s="425"/>
      <c s="425"/>
      <c s="425"/>
      <c s="425"/>
      <c s="425"/>
      <c s="425"/>
      <c s="425"/>
      <c s="425"/>
      <c s="425"/>
      <c s="422" t="s">
        <v>14</v>
      </c>
    </row>
    <row r="2" spans="12:65" s="1556" customFormat="1" ht="11.25" customHeight="1" hidden="1">
      <c r="L2" s="1556" t="s">
        <v>279</v>
      </c>
      <c s="1556" t="s">
        <v>280</v>
      </c>
      <c r="R2" s="1556" t="s">
        <v>281</v>
      </c>
      <c s="1556" t="s">
        <v>280</v>
      </c>
      <c r="X2" s="1556" t="s">
        <v>279</v>
      </c>
      <c s="1556" t="s">
        <v>280</v>
      </c>
      <c r="AD2" s="1556" t="s">
        <v>279</v>
      </c>
      <c s="1556" t="s">
        <v>280</v>
      </c>
      <c r="AJ2" s="1578"/>
      <c s="1578"/>
      <c s="1578"/>
      <c s="1578"/>
      <c s="1578"/>
      <c s="1578"/>
      <c s="1578"/>
      <c s="1578"/>
      <c s="1578"/>
      <c s="1578"/>
      <c s="1578"/>
      <c s="1578"/>
      <c s="1578"/>
      <c s="1578"/>
      <c s="1578"/>
      <c s="1578"/>
      <c s="1578"/>
      <c s="1578"/>
      <c s="1578"/>
      <c s="1578"/>
      <c s="1578"/>
      <c s="1578"/>
      <c s="1578"/>
      <c s="1578"/>
      <c s="1578"/>
      <c s="1578"/>
      <c s="1578"/>
      <c s="1578"/>
      <c s="1578"/>
      <c s="1556">
        <v>0</v>
      </c>
    </row>
    <row r="3" spans="36:65" s="1557" customFormat="1" ht="11.55" customHeight="1">
      <c r="AJ3" s="1577"/>
      <c s="309"/>
      <c s="1577"/>
      <c s="1577"/>
      <c s="1577"/>
      <c s="1577"/>
      <c s="1577"/>
      <c s="1577"/>
      <c s="1577"/>
      <c s="1577"/>
      <c s="1577"/>
      <c s="1577"/>
      <c s="1577"/>
      <c s="1577"/>
      <c s="1577"/>
      <c s="1577"/>
      <c s="1577"/>
      <c s="1577"/>
      <c s="1577"/>
      <c s="1577"/>
      <c s="1577"/>
      <c s="1577"/>
      <c s="1577"/>
      <c s="1577"/>
      <c s="1577"/>
      <c s="1577"/>
      <c s="1577"/>
      <c s="1577"/>
      <c s="1577"/>
      <c s="1557">
        <v>11</v>
      </c>
    </row>
    <row r="4" spans="1:65" s="1822" customFormat="1" ht="34.5" customHeight="1">
      <c r="A4" s="1159"/>
      <c s="1158"/>
      <c s="1518"/>
      <c s="2194" t="s">
        <v>282</v>
      </c>
      <c s="2194"/>
      <c s="2194"/>
      <c s="2194"/>
      <c s="2194"/>
      <c s="2194"/>
      <c s="2194"/>
      <c s="702"/>
      <c r="T4" s="1558"/>
      <c r="AJ4" s="1579"/>
      <c s="1580"/>
      <c s="1579"/>
      <c s="1579"/>
      <c s="1579"/>
      <c s="1579"/>
      <c s="1579"/>
      <c s="1579"/>
      <c s="1579"/>
      <c s="1579"/>
      <c s="1579"/>
      <c s="1579"/>
      <c s="1579"/>
      <c s="1579"/>
      <c s="1579"/>
      <c s="1579"/>
      <c s="1579"/>
      <c s="1579"/>
      <c s="1579"/>
      <c s="1579"/>
      <c s="1579"/>
      <c s="1579"/>
      <c s="1579"/>
      <c s="1579"/>
      <c s="1579"/>
      <c s="1579"/>
      <c s="1579"/>
      <c s="1579"/>
      <c s="1579"/>
      <c s="510">
        <v>33</v>
      </c>
    </row>
    <row r="5" spans="1:65" s="1822" customFormat="1" ht="14.7" customHeight="1">
      <c r="A5" s="1635"/>
      <c s="1634"/>
      <c s="1518"/>
      <c s="2179" t="str">
        <f>IF(org=0,"Не определено",org)</f>
        <v>ГУП КК "Кубаньводкомплекс"</v>
      </c>
      <c s="2179"/>
      <c s="2179"/>
      <c s="2179"/>
      <c s="2179"/>
      <c s="2179"/>
      <c s="2179"/>
      <c s="702"/>
      <c r="T5" s="1558"/>
      <c r="AJ5" s="1579"/>
      <c s="1580"/>
      <c s="1579"/>
      <c s="1579"/>
      <c s="1579"/>
      <c s="1579"/>
      <c s="1579"/>
      <c s="1579"/>
      <c s="1579"/>
      <c s="1579"/>
      <c s="1579"/>
      <c s="1579"/>
      <c s="1579"/>
      <c s="1579"/>
      <c s="1579"/>
      <c s="1579"/>
      <c s="1579"/>
      <c s="1579"/>
      <c s="1579"/>
      <c s="1579"/>
      <c s="1579"/>
      <c s="1579"/>
      <c s="1579"/>
      <c s="1579"/>
      <c s="1579"/>
      <c s="1579"/>
      <c s="1579"/>
      <c s="1579"/>
      <c s="1579"/>
      <c s="1612">
        <v>14</v>
      </c>
    </row>
    <row r="6" spans="1:65" s="1822" customFormat="1" ht="14.7" customHeight="1">
      <c r="A6" s="1159"/>
      <c s="1158"/>
      <c s="1518"/>
      <c s="702"/>
      <c s="702"/>
      <c s="702"/>
      <c s="702"/>
      <c s="702"/>
      <c s="702"/>
      <c s="702"/>
      <c s="702"/>
      <c r="T6" s="1558"/>
      <c r="AJ6" s="1579"/>
      <c s="1580"/>
      <c s="1579"/>
      <c s="1579"/>
      <c s="1579"/>
      <c s="1579"/>
      <c s="1579"/>
      <c s="1579"/>
      <c s="1579"/>
      <c s="1579"/>
      <c s="1579"/>
      <c s="1579"/>
      <c s="1579"/>
      <c s="1579"/>
      <c s="1579"/>
      <c s="1579"/>
      <c s="1579"/>
      <c s="1579"/>
      <c s="1579"/>
      <c s="1579"/>
      <c s="1579"/>
      <c s="1579"/>
      <c s="1579"/>
      <c s="1579"/>
      <c s="1579"/>
      <c s="1579"/>
      <c s="1579"/>
      <c s="1579"/>
      <c s="1579"/>
      <c s="510">
        <v>14</v>
      </c>
    </row>
    <row r="7" spans="36:65" s="1319" customFormat="1" ht="1.05" customHeight="1">
      <c r="AJ7" s="425"/>
      <c s="425"/>
      <c s="425"/>
      <c s="425"/>
      <c s="425"/>
      <c s="425"/>
      <c s="425"/>
      <c s="425"/>
      <c s="425"/>
      <c s="425"/>
      <c s="425"/>
      <c s="425"/>
      <c s="425"/>
      <c s="425"/>
      <c s="425"/>
      <c s="425"/>
      <c s="425"/>
      <c s="425"/>
      <c s="425"/>
      <c s="425"/>
      <c s="425"/>
      <c s="425"/>
      <c s="425"/>
      <c s="425"/>
      <c s="425"/>
      <c s="425"/>
      <c s="425"/>
      <c s="425"/>
      <c s="425"/>
      <c s="422">
        <v>1</v>
      </c>
    </row>
    <row r="8" spans="4:65" ht="33.75" customHeight="1">
      <c r="D8" s="2130" t="s">
        <v>87</v>
      </c>
      <c s="2130" t="s">
        <v>105</v>
      </c>
      <c s="2195" t="s">
        <v>124</v>
      </c>
      <c s="2196"/>
      <c s="2195" t="s">
        <v>87</v>
      </c>
      <c s="2196"/>
      <c s="2130" t="s">
        <v>125</v>
      </c>
      <c s="1559"/>
      <c s="2199" t="s">
        <v>283</v>
      </c>
      <c s="2199"/>
      <c s="2199"/>
      <c s="2199"/>
      <c s="2199"/>
      <c s="1560"/>
      <c s="2099" t="s">
        <v>284</v>
      </c>
      <c s="2200"/>
      <c s="2200"/>
      <c s="2200"/>
      <c s="2200"/>
      <c s="1560"/>
      <c s="2201" t="s">
        <v>285</v>
      </c>
      <c s="2201"/>
      <c s="2201"/>
      <c s="2201"/>
      <c s="2201"/>
      <c s="1561"/>
      <c s="2130" t="s">
        <v>286</v>
      </c>
      <c s="2130"/>
      <c s="2130"/>
      <c s="2130"/>
      <c s="2104"/>
      <c s="2130" t="s">
        <v>287</v>
      </c>
      <c s="1577"/>
      <c r="BM8" s="296">
        <v>32</v>
      </c>
    </row>
    <row r="9" spans="4:65" ht="23.25" customHeight="1">
      <c r="D9" s="2130"/>
      <c s="2130"/>
      <c s="2178" t="s">
        <v>88</v>
      </c>
      <c s="2178" t="s">
        <v>130</v>
      </c>
      <c s="2197"/>
      <c s="2198"/>
      <c s="2104"/>
      <c s="1562"/>
      <c s="2130" t="s">
        <v>288</v>
      </c>
      <c s="2104"/>
      <c s="2195" t="s">
        <v>87</v>
      </c>
      <c s="2196"/>
      <c s="2130" t="s">
        <v>131</v>
      </c>
      <c s="1559"/>
      <c s="2130" t="s">
        <v>288</v>
      </c>
      <c s="2104"/>
      <c s="2195" t="s">
        <v>87</v>
      </c>
      <c s="2196"/>
      <c s="2130" t="s">
        <v>131</v>
      </c>
      <c s="1559"/>
      <c s="2130" t="s">
        <v>288</v>
      </c>
      <c s="2104"/>
      <c s="2195" t="s">
        <v>87</v>
      </c>
      <c s="2196"/>
      <c s="2130" t="s">
        <v>289</v>
      </c>
      <c s="1559"/>
      <c s="2130" t="s">
        <v>288</v>
      </c>
      <c s="2104"/>
      <c s="2195" t="s">
        <v>87</v>
      </c>
      <c s="2196"/>
      <c s="2104" t="s">
        <v>289</v>
      </c>
      <c s="2130"/>
      <c s="1577"/>
      <c r="BM9" s="296">
        <v>22</v>
      </c>
    </row>
    <row r="10" spans="4:65" ht="24" customHeight="1">
      <c r="D10" s="2178"/>
      <c s="2178"/>
      <c s="2202"/>
      <c s="2202"/>
      <c s="2203"/>
      <c s="2204"/>
      <c s="2195"/>
      <c s="1562"/>
      <c s="1581" t="s">
        <v>290</v>
      </c>
      <c s="1576" t="s">
        <v>291</v>
      </c>
      <c s="2197"/>
      <c s="2198"/>
      <c s="2178"/>
      <c s="1559"/>
      <c s="1581" t="s">
        <v>290</v>
      </c>
      <c s="1576" t="s">
        <v>291</v>
      </c>
      <c s="2197"/>
      <c s="2198"/>
      <c s="2178"/>
      <c s="1559"/>
      <c s="1581" t="s">
        <v>290</v>
      </c>
      <c s="1576" t="s">
        <v>291</v>
      </c>
      <c s="2197"/>
      <c s="2198"/>
      <c s="2178"/>
      <c s="1559"/>
      <c s="1581" t="s">
        <v>290</v>
      </c>
      <c s="1576" t="s">
        <v>291</v>
      </c>
      <c s="2197"/>
      <c s="2198"/>
      <c s="2195"/>
      <c s="2178"/>
      <c s="1577"/>
      <c s="257" t="s">
        <v>292</v>
      </c>
      <c s="257" t="s">
        <v>132</v>
      </c>
      <c r="BM10" s="296">
        <v>23</v>
      </c>
    </row>
    <row r="11" spans="4:65" ht="15" customHeight="1">
      <c r="D11" s="2186" t="s">
        <v>109</v>
      </c>
      <c s="2182" t="s">
        <v>293</v>
      </c>
      <c s="2182" t="s">
        <v>294</v>
      </c>
      <c s="2188" t="s">
        <v>19</v>
      </c>
      <c s="1602"/>
      <c s="2184"/>
      <c s="2155"/>
      <c s="1517"/>
      <c s="2140"/>
      <c s="2140"/>
      <c s="1587"/>
      <c s="2140"/>
      <c s="2155"/>
      <c s="1588"/>
      <c s="2140"/>
      <c s="2140"/>
      <c s="1589"/>
      <c s="2140"/>
      <c s="2155"/>
      <c s="1590"/>
      <c s="2140"/>
      <c s="2140"/>
      <c s="1587"/>
      <c s="2140"/>
      <c s="2155"/>
      <c s="1591"/>
      <c s="2140"/>
      <c s="2140"/>
      <c s="1516"/>
      <c s="1516"/>
      <c s="1592"/>
      <c s="1299"/>
      <c s="1577"/>
      <c r="BM11" s="296">
        <v>14</v>
      </c>
    </row>
    <row r="12" spans="4:65" ht="14.7" customHeight="1">
      <c r="D12" s="2186"/>
      <c s="2182"/>
      <c s="2182"/>
      <c s="2189"/>
      <c s="1603"/>
      <c s="2185"/>
      <c s="2156"/>
      <c s="1613"/>
      <c s="2141"/>
      <c s="2141"/>
      <c s="1593"/>
      <c s="2141"/>
      <c s="2156"/>
      <c s="1594"/>
      <c s="2141"/>
      <c s="2141"/>
      <c s="1595"/>
      <c s="2141"/>
      <c s="2156"/>
      <c s="1596"/>
      <c s="2141"/>
      <c s="2141"/>
      <c s="1593"/>
      <c s="2141"/>
      <c s="2156"/>
      <c s="1597"/>
      <c s="2141"/>
      <c s="2141"/>
      <c s="1598"/>
      <c s="1598"/>
      <c s="2180"/>
      <c s="2181"/>
      <c s="1577"/>
      <c r="BM12" s="296">
        <v>14</v>
      </c>
    </row>
    <row r="13" spans="4:65" ht="14.7" customHeight="1">
      <c r="D13" s="2186"/>
      <c s="2182"/>
      <c s="2182"/>
      <c s="2189"/>
      <c s="1603"/>
      <c s="2185"/>
      <c s="2156"/>
      <c s="1613"/>
      <c s="2141"/>
      <c s="2141"/>
      <c s="1593"/>
      <c s="2141"/>
      <c s="2156"/>
      <c s="1594"/>
      <c s="2141"/>
      <c s="2141"/>
      <c s="1595"/>
      <c s="2141"/>
      <c s="2156"/>
      <c s="1596"/>
      <c s="2141"/>
      <c s="2141"/>
      <c s="1515"/>
      <c s="1598"/>
      <c s="2180"/>
      <c s="2180"/>
      <c s="2180"/>
      <c s="2180"/>
      <c s="2180"/>
      <c s="2180"/>
      <c s="2180"/>
      <c s="2181"/>
      <c s="1577"/>
      <c r="BM13" s="296">
        <v>14</v>
      </c>
    </row>
    <row r="14" spans="4:65" ht="14.7" customHeight="1">
      <c r="D14" s="2186"/>
      <c s="2182"/>
      <c s="2182"/>
      <c s="2189"/>
      <c s="1603"/>
      <c s="2185"/>
      <c s="2156"/>
      <c s="1613"/>
      <c s="2141"/>
      <c s="2141"/>
      <c s="1593"/>
      <c s="2141"/>
      <c s="2156"/>
      <c s="1594"/>
      <c s="2141"/>
      <c s="2141"/>
      <c s="1599"/>
      <c s="1600"/>
      <c s="2180"/>
      <c s="2180"/>
      <c s="2180"/>
      <c s="2180"/>
      <c s="2180"/>
      <c s="2180"/>
      <c s="2180"/>
      <c s="2180"/>
      <c s="2180"/>
      <c s="2180"/>
      <c s="2180"/>
      <c s="2180"/>
      <c s="2180"/>
      <c s="2181"/>
      <c s="1577"/>
      <c r="BM14" s="296">
        <v>14</v>
      </c>
    </row>
    <row r="15" spans="4:65" ht="11.55" customHeight="1">
      <c r="D15" s="2186"/>
      <c s="2182"/>
      <c s="2182"/>
      <c s="2189"/>
      <c s="1604"/>
      <c s="2185"/>
      <c s="2156"/>
      <c s="1613"/>
      <c s="2141"/>
      <c s="2141"/>
      <c s="1598"/>
      <c s="1598"/>
      <c s="2180"/>
      <c s="2180"/>
      <c s="2180"/>
      <c s="2180"/>
      <c s="2180"/>
      <c s="2180"/>
      <c s="2180"/>
      <c s="2180"/>
      <c s="2180"/>
      <c s="2180"/>
      <c s="2180"/>
      <c s="2180"/>
      <c s="2180"/>
      <c s="2180"/>
      <c s="2180"/>
      <c s="2180"/>
      <c s="2180"/>
      <c s="2180"/>
      <c s="2180"/>
      <c s="2181"/>
      <c s="1577"/>
      <c r="BM15" s="296">
        <v>11</v>
      </c>
    </row>
    <row r="16" spans="4:65" s="1557" customFormat="1" ht="11.55" customHeight="1">
      <c r="D16" s="2192"/>
      <c s="2193"/>
      <c s="2183"/>
      <c s="2115"/>
      <c s="1601"/>
      <c s="1605"/>
      <c s="2190"/>
      <c s="2190"/>
      <c s="2190"/>
      <c s="2190"/>
      <c s="2190"/>
      <c s="2190"/>
      <c s="2190"/>
      <c s="2190"/>
      <c s="2190"/>
      <c s="2190"/>
      <c s="2190"/>
      <c s="2190"/>
      <c s="2190"/>
      <c s="2190"/>
      <c s="2190"/>
      <c s="2190"/>
      <c s="2190"/>
      <c s="2190"/>
      <c s="2190"/>
      <c s="2190"/>
      <c s="2190"/>
      <c s="2190"/>
      <c s="2190"/>
      <c s="2190"/>
      <c s="2190"/>
      <c s="2191"/>
      <c s="1577"/>
      <c s="309"/>
      <c s="1577"/>
      <c s="1577"/>
      <c s="1577"/>
      <c s="1577"/>
      <c s="1577"/>
      <c s="1577"/>
      <c s="1577"/>
      <c s="1577"/>
      <c s="1577"/>
      <c s="1577"/>
      <c s="1577"/>
      <c s="1577"/>
      <c s="1577"/>
      <c s="1577"/>
      <c s="1577"/>
      <c s="1577"/>
      <c s="1577"/>
      <c s="1577"/>
      <c s="1577"/>
      <c s="1577"/>
      <c s="1577"/>
      <c s="1577"/>
      <c s="1577"/>
      <c s="1577"/>
      <c s="1577"/>
      <c s="1577"/>
      <c s="1577"/>
      <c s="1557">
        <v>11</v>
      </c>
    </row>
    <row r="17" spans="4:65" ht="15" customHeight="1">
      <c r="D17" s="2186" t="s">
        <v>110</v>
      </c>
      <c s="2182" t="s">
        <v>293</v>
      </c>
      <c s="2182" t="s">
        <v>295</v>
      </c>
      <c s="2188" t="s">
        <v>19</v>
      </c>
      <c s="1602"/>
      <c s="2184"/>
      <c s="2155"/>
      <c s="1517"/>
      <c s="2140"/>
      <c s="2140"/>
      <c s="1587"/>
      <c s="2140"/>
      <c s="2155"/>
      <c s="1588"/>
      <c s="2140"/>
      <c s="2140"/>
      <c s="1589"/>
      <c s="2140"/>
      <c s="2155"/>
      <c s="1590"/>
      <c s="2140"/>
      <c s="2140"/>
      <c s="1587"/>
      <c s="2140"/>
      <c s="2155"/>
      <c s="1591"/>
      <c s="2140"/>
      <c s="2140"/>
      <c s="1516"/>
      <c s="1516"/>
      <c s="1592"/>
      <c s="1299"/>
      <c s="1577"/>
      <c r="BM17" s="296">
        <v>14</v>
      </c>
    </row>
    <row r="18" spans="4:65" ht="14.7" customHeight="1">
      <c r="D18" s="2186"/>
      <c s="2182"/>
      <c s="2182"/>
      <c s="2189"/>
      <c s="1603"/>
      <c s="2185"/>
      <c s="2156"/>
      <c s="1586"/>
      <c s="2141"/>
      <c s="2141"/>
      <c s="1593"/>
      <c s="2141"/>
      <c s="2156"/>
      <c s="1594"/>
      <c s="2141"/>
      <c s="2141"/>
      <c s="1595"/>
      <c s="2141"/>
      <c s="2156"/>
      <c s="1596"/>
      <c s="2141"/>
      <c s="2141"/>
      <c s="1593"/>
      <c s="2141"/>
      <c s="2156"/>
      <c s="1597"/>
      <c s="2141"/>
      <c s="2141"/>
      <c s="1598"/>
      <c s="1598"/>
      <c s="2180"/>
      <c s="2181"/>
      <c s="1577"/>
      <c r="BM18" s="296">
        <v>14</v>
      </c>
    </row>
    <row r="19" spans="4:65" ht="14.7" customHeight="1">
      <c r="D19" s="2186"/>
      <c s="2182"/>
      <c s="2182"/>
      <c s="2189"/>
      <c s="1603"/>
      <c s="2185"/>
      <c s="2156"/>
      <c s="1586"/>
      <c s="2141"/>
      <c s="2141"/>
      <c s="1593"/>
      <c s="2141"/>
      <c s="2156"/>
      <c s="1594"/>
      <c s="2141"/>
      <c s="2141"/>
      <c s="1595"/>
      <c s="2141"/>
      <c s="2156"/>
      <c s="1596"/>
      <c s="2141"/>
      <c s="2141"/>
      <c s="1515"/>
      <c s="1598"/>
      <c s="2180"/>
      <c s="2180"/>
      <c s="2180"/>
      <c s="2180"/>
      <c s="2180"/>
      <c s="2180"/>
      <c s="2180"/>
      <c s="2181"/>
      <c s="1577"/>
      <c r="BM19" s="296">
        <v>14</v>
      </c>
    </row>
    <row r="20" spans="4:65" ht="14.7" customHeight="1">
      <c r="D20" s="2186"/>
      <c s="2182"/>
      <c s="2182"/>
      <c s="2189"/>
      <c s="1603"/>
      <c s="2185"/>
      <c s="2156"/>
      <c s="1586"/>
      <c s="2141"/>
      <c s="2141"/>
      <c s="1593"/>
      <c s="2141"/>
      <c s="2156"/>
      <c s="1594"/>
      <c s="2141"/>
      <c s="2141"/>
      <c s="1599"/>
      <c s="1600"/>
      <c s="2180"/>
      <c s="2180"/>
      <c s="2180"/>
      <c s="2180"/>
      <c s="2180"/>
      <c s="2180"/>
      <c s="2180"/>
      <c s="2180"/>
      <c s="2180"/>
      <c s="2180"/>
      <c s="2180"/>
      <c s="2180"/>
      <c s="2180"/>
      <c s="2181"/>
      <c s="1577"/>
      <c r="BM20" s="296">
        <v>14</v>
      </c>
    </row>
    <row r="21" spans="4:65" ht="11.55" customHeight="1">
      <c r="D21" s="2186"/>
      <c s="2182"/>
      <c s="2182"/>
      <c s="2189"/>
      <c s="1604"/>
      <c s="2185"/>
      <c s="2156"/>
      <c s="1586"/>
      <c s="2141"/>
      <c s="2141"/>
      <c s="1598"/>
      <c s="1598"/>
      <c s="2180"/>
      <c s="2180"/>
      <c s="2180"/>
      <c s="2180"/>
      <c s="2180"/>
      <c s="2180"/>
      <c s="2180"/>
      <c s="2180"/>
      <c s="2180"/>
      <c s="2180"/>
      <c s="2180"/>
      <c s="2180"/>
      <c s="2180"/>
      <c s="2180"/>
      <c s="2180"/>
      <c s="2180"/>
      <c s="2180"/>
      <c s="2180"/>
      <c s="2180"/>
      <c s="2181"/>
      <c s="1577"/>
      <c r="BM21" s="296">
        <v>11</v>
      </c>
    </row>
    <row r="22" spans="4:65" s="1557" customFormat="1" ht="11.55" customHeight="1">
      <c r="D22" s="2192"/>
      <c s="2193"/>
      <c s="2183"/>
      <c s="2115"/>
      <c s="1601"/>
      <c s="1605"/>
      <c s="2190"/>
      <c s="2190"/>
      <c s="2190"/>
      <c s="2190"/>
      <c s="2190"/>
      <c s="2190"/>
      <c s="2190"/>
      <c s="2190"/>
      <c s="2190"/>
      <c s="2190"/>
      <c s="2190"/>
      <c s="2190"/>
      <c s="2190"/>
      <c s="2190"/>
      <c s="2190"/>
      <c s="2190"/>
      <c s="2190"/>
      <c s="2190"/>
      <c s="2190"/>
      <c s="2190"/>
      <c s="2190"/>
      <c s="2190"/>
      <c s="2190"/>
      <c s="2190"/>
      <c s="2190"/>
      <c s="2191"/>
      <c s="1577"/>
      <c s="309"/>
      <c s="1577"/>
      <c s="1577"/>
      <c s="1577"/>
      <c s="1577"/>
      <c s="1577"/>
      <c s="1577"/>
      <c s="1577"/>
      <c s="1577"/>
      <c s="1577"/>
      <c s="1577"/>
      <c s="1577"/>
      <c s="1577"/>
      <c s="1577"/>
      <c s="1577"/>
      <c s="1577"/>
      <c s="1577"/>
      <c s="1577"/>
      <c s="1577"/>
      <c s="1577"/>
      <c s="1577"/>
      <c s="1577"/>
      <c s="1577"/>
      <c s="1577"/>
      <c s="1577"/>
      <c s="1577"/>
      <c s="1577"/>
      <c s="1577"/>
      <c s="1557">
        <v>11</v>
      </c>
    </row>
    <row r="23" spans="4:65" ht="15" customHeight="1">
      <c r="D23" s="2186" t="s">
        <v>89</v>
      </c>
      <c s="2182" t="s">
        <v>293</v>
      </c>
      <c s="2182" t="s">
        <v>296</v>
      </c>
      <c s="2188" t="s">
        <v>19</v>
      </c>
      <c s="1602"/>
      <c s="2184"/>
      <c s="2155"/>
      <c s="1517"/>
      <c s="2140"/>
      <c s="2140"/>
      <c s="1587"/>
      <c s="2140"/>
      <c s="2155"/>
      <c s="1588"/>
      <c s="2140"/>
      <c s="2140"/>
      <c s="1589"/>
      <c s="2140"/>
      <c s="2155"/>
      <c s="1590"/>
      <c s="2140"/>
      <c s="2140"/>
      <c s="1587"/>
      <c s="2140"/>
      <c s="2155"/>
      <c s="1591"/>
      <c s="2140"/>
      <c s="2140"/>
      <c s="1516"/>
      <c s="1516"/>
      <c s="1592"/>
      <c s="1299"/>
      <c s="1577"/>
      <c s="309" t="s">
        <v>97</v>
      </c>
      <c r="BM23" s="296">
        <v>14</v>
      </c>
    </row>
    <row r="24" spans="4:65" ht="14.7" customHeight="1">
      <c r="D24" s="2186"/>
      <c s="2182"/>
      <c s="2182"/>
      <c s="2189"/>
      <c s="1603"/>
      <c s="2185"/>
      <c s="2156"/>
      <c s="1613"/>
      <c s="2141"/>
      <c s="2141"/>
      <c s="1593"/>
      <c s="2141"/>
      <c s="2156"/>
      <c s="1594"/>
      <c s="2141"/>
      <c s="2141"/>
      <c s="1595"/>
      <c s="2141"/>
      <c s="2156"/>
      <c s="1596"/>
      <c s="2141"/>
      <c s="2141"/>
      <c s="1593"/>
      <c s="2141"/>
      <c s="2156"/>
      <c s="1597"/>
      <c s="2141"/>
      <c s="2141"/>
      <c s="1598"/>
      <c s="1598"/>
      <c s="2180"/>
      <c s="2181"/>
      <c s="1577"/>
      <c r="BM24" s="296">
        <v>14</v>
      </c>
    </row>
    <row r="25" spans="4:65" ht="14.7" customHeight="1">
      <c r="D25" s="2186"/>
      <c s="2182"/>
      <c s="2182"/>
      <c s="2189"/>
      <c s="1603"/>
      <c s="2185"/>
      <c s="2156"/>
      <c s="1613"/>
      <c s="2141"/>
      <c s="2141"/>
      <c s="1593"/>
      <c s="2141"/>
      <c s="2156"/>
      <c s="1594"/>
      <c s="2141"/>
      <c s="2141"/>
      <c s="1595"/>
      <c s="2141"/>
      <c s="2156"/>
      <c s="1596"/>
      <c s="2141"/>
      <c s="2141"/>
      <c s="1515"/>
      <c s="1598"/>
      <c s="2180"/>
      <c s="2180"/>
      <c s="2180"/>
      <c s="2180"/>
      <c s="2180"/>
      <c s="2180"/>
      <c s="2180"/>
      <c s="2181"/>
      <c s="1577"/>
      <c r="BM25" s="296">
        <v>14</v>
      </c>
    </row>
    <row r="26" spans="4:65" ht="14.7" customHeight="1">
      <c r="D26" s="2186"/>
      <c s="2182"/>
      <c s="2182"/>
      <c s="2189"/>
      <c s="1603"/>
      <c s="2185"/>
      <c s="2156"/>
      <c s="1613"/>
      <c s="2141"/>
      <c s="2141"/>
      <c s="1593"/>
      <c s="2141"/>
      <c s="2156"/>
      <c s="1594"/>
      <c s="2141"/>
      <c s="2141"/>
      <c s="1599"/>
      <c s="1600"/>
      <c s="2180"/>
      <c s="2180"/>
      <c s="2180"/>
      <c s="2180"/>
      <c s="2180"/>
      <c s="2180"/>
      <c s="2180"/>
      <c s="2180"/>
      <c s="2180"/>
      <c s="2180"/>
      <c s="2180"/>
      <c s="2180"/>
      <c s="2180"/>
      <c s="2181"/>
      <c s="1577"/>
      <c r="BM26" s="296">
        <v>14</v>
      </c>
    </row>
    <row r="27" spans="4:65" ht="11.55" customHeight="1">
      <c r="D27" s="2186"/>
      <c s="2182"/>
      <c s="2182"/>
      <c s="2189"/>
      <c s="1604"/>
      <c s="2185"/>
      <c s="2156"/>
      <c s="1613"/>
      <c s="2141"/>
      <c s="2141"/>
      <c s="1598"/>
      <c s="1598"/>
      <c s="2180"/>
      <c s="2180"/>
      <c s="2180"/>
      <c s="2180"/>
      <c s="2180"/>
      <c s="2180"/>
      <c s="2180"/>
      <c s="2180"/>
      <c s="2180"/>
      <c s="2180"/>
      <c s="2180"/>
      <c s="2180"/>
      <c s="2180"/>
      <c s="2180"/>
      <c s="2180"/>
      <c s="2180"/>
      <c s="2180"/>
      <c s="2180"/>
      <c s="2180"/>
      <c s="2181"/>
      <c s="1577"/>
      <c r="BM27" s="296">
        <v>11</v>
      </c>
    </row>
    <row r="28" spans="4:65" s="1557" customFormat="1" ht="11.55" customHeight="1">
      <c r="D28" s="2192"/>
      <c s="2193"/>
      <c s="2183"/>
      <c s="2115"/>
      <c s="1601"/>
      <c s="1605"/>
      <c s="2190"/>
      <c s="2190"/>
      <c s="2190"/>
      <c s="2190"/>
      <c s="2190"/>
      <c s="2190"/>
      <c s="2190"/>
      <c s="2190"/>
      <c s="2190"/>
      <c s="2190"/>
      <c s="2190"/>
      <c s="2190"/>
      <c s="2190"/>
      <c s="2190"/>
      <c s="2190"/>
      <c s="2190"/>
      <c s="2190"/>
      <c s="2190"/>
      <c s="2190"/>
      <c s="2190"/>
      <c s="2190"/>
      <c s="2190"/>
      <c s="2190"/>
      <c s="2190"/>
      <c s="2190"/>
      <c s="2191"/>
      <c s="1577"/>
      <c s="309"/>
      <c s="1577"/>
      <c s="1577"/>
      <c s="1577"/>
      <c s="1577"/>
      <c s="1577"/>
      <c s="1577"/>
      <c s="1577"/>
      <c s="1577"/>
      <c s="1577"/>
      <c s="1577"/>
      <c s="1577"/>
      <c s="1577"/>
      <c s="1577"/>
      <c s="1577"/>
      <c s="1577"/>
      <c s="1577"/>
      <c s="1577"/>
      <c s="1577"/>
      <c s="1577"/>
      <c s="1577"/>
      <c s="1577"/>
      <c s="1577"/>
      <c s="1577"/>
      <c s="1577"/>
      <c s="1577"/>
      <c s="1577"/>
      <c s="1577"/>
      <c s="1557">
        <v>11</v>
      </c>
    </row>
    <row r="29" spans="4:65" ht="15" customHeight="1">
      <c r="D29" s="2186" t="s">
        <v>90</v>
      </c>
      <c s="2182" t="s">
        <v>293</v>
      </c>
      <c s="2182" t="s">
        <v>297</v>
      </c>
      <c s="2188" t="s">
        <v>19</v>
      </c>
      <c s="1602"/>
      <c s="2184"/>
      <c s="2155"/>
      <c s="1517"/>
      <c s="2140"/>
      <c s="2140"/>
      <c s="1587"/>
      <c s="2140"/>
      <c s="2155"/>
      <c s="1588"/>
      <c s="2140"/>
      <c s="2140"/>
      <c s="1589"/>
      <c s="2140"/>
      <c s="2155"/>
      <c s="1590"/>
      <c s="2140"/>
      <c s="2140"/>
      <c s="1587"/>
      <c s="2140"/>
      <c s="2155"/>
      <c s="1591"/>
      <c s="2140"/>
      <c s="2140"/>
      <c s="1516"/>
      <c s="1516"/>
      <c s="1592"/>
      <c s="1299"/>
      <c s="1577"/>
      <c r="BM29" s="296">
        <v>14</v>
      </c>
    </row>
    <row r="30" spans="4:65" ht="14.7" customHeight="1">
      <c r="D30" s="2186"/>
      <c s="2182"/>
      <c s="2182"/>
      <c s="2189"/>
      <c s="1603"/>
      <c s="2185"/>
      <c s="2156"/>
      <c s="1586"/>
      <c s="2141"/>
      <c s="2141"/>
      <c s="1593"/>
      <c s="2141"/>
      <c s="2156"/>
      <c s="1594"/>
      <c s="2141"/>
      <c s="2141"/>
      <c s="1595"/>
      <c s="2141"/>
      <c s="2156"/>
      <c s="1596"/>
      <c s="2141"/>
      <c s="2141"/>
      <c s="1593"/>
      <c s="2141"/>
      <c s="2156"/>
      <c s="1597"/>
      <c s="2141"/>
      <c s="2141"/>
      <c s="1598"/>
      <c s="1598"/>
      <c s="2180"/>
      <c s="2181"/>
      <c s="1577"/>
      <c r="BM30" s="296">
        <v>14</v>
      </c>
    </row>
    <row r="31" spans="4:65" ht="14.7" customHeight="1">
      <c r="D31" s="2186"/>
      <c s="2182"/>
      <c s="2182"/>
      <c s="2189"/>
      <c s="1603"/>
      <c s="2185"/>
      <c s="2156"/>
      <c s="1586"/>
      <c s="2141"/>
      <c s="2141"/>
      <c s="1593"/>
      <c s="2141"/>
      <c s="2156"/>
      <c s="1594"/>
      <c s="2141"/>
      <c s="2141"/>
      <c s="1595"/>
      <c s="2141"/>
      <c s="2156"/>
      <c s="1596"/>
      <c s="2141"/>
      <c s="2141"/>
      <c s="1515"/>
      <c s="1598"/>
      <c s="2180"/>
      <c s="2180"/>
      <c s="2180"/>
      <c s="2180"/>
      <c s="2180"/>
      <c s="2180"/>
      <c s="2180"/>
      <c s="2181"/>
      <c s="1577"/>
      <c r="BM31" s="296">
        <v>14</v>
      </c>
    </row>
    <row r="32" spans="4:65" ht="14.7" customHeight="1">
      <c r="D32" s="2186"/>
      <c s="2182"/>
      <c s="2182"/>
      <c s="2189"/>
      <c s="1603"/>
      <c s="2185"/>
      <c s="2156"/>
      <c s="1586"/>
      <c s="2141"/>
      <c s="2141"/>
      <c s="1593"/>
      <c s="2141"/>
      <c s="2156"/>
      <c s="1594"/>
      <c s="2141"/>
      <c s="2141"/>
      <c s="1599"/>
      <c s="1600"/>
      <c s="2180"/>
      <c s="2180"/>
      <c s="2180"/>
      <c s="2180"/>
      <c s="2180"/>
      <c s="2180"/>
      <c s="2180"/>
      <c s="2180"/>
      <c s="2180"/>
      <c s="2180"/>
      <c s="2180"/>
      <c s="2180"/>
      <c s="2180"/>
      <c s="2181"/>
      <c s="1577"/>
      <c r="BM32" s="296">
        <v>14</v>
      </c>
    </row>
    <row r="33" spans="4:65" ht="11.55" customHeight="1">
      <c r="D33" s="2186"/>
      <c s="2182"/>
      <c s="2182"/>
      <c s="2189"/>
      <c s="1604"/>
      <c s="2185"/>
      <c s="2156"/>
      <c s="1586"/>
      <c s="2141"/>
      <c s="2141"/>
      <c s="1598"/>
      <c s="1598"/>
      <c s="2180"/>
      <c s="2180"/>
      <c s="2180"/>
      <c s="2180"/>
      <c s="2180"/>
      <c s="2180"/>
      <c s="2180"/>
      <c s="2180"/>
      <c s="2180"/>
      <c s="2180"/>
      <c s="2180"/>
      <c s="2180"/>
      <c s="2180"/>
      <c s="2180"/>
      <c s="2180"/>
      <c s="2180"/>
      <c s="2180"/>
      <c s="2180"/>
      <c s="2180"/>
      <c s="2181"/>
      <c s="1577"/>
      <c r="BM33" s="296">
        <v>11</v>
      </c>
    </row>
    <row r="34" spans="4:65" s="1557" customFormat="1" ht="11.55" customHeight="1">
      <c r="D34" s="2192"/>
      <c s="2193"/>
      <c s="2183"/>
      <c s="2115"/>
      <c s="1601"/>
      <c s="1605"/>
      <c s="2190"/>
      <c s="2190"/>
      <c s="2190"/>
      <c s="2190"/>
      <c s="2190"/>
      <c s="2190"/>
      <c s="2190"/>
      <c s="2190"/>
      <c s="2190"/>
      <c s="2190"/>
      <c s="2190"/>
      <c s="2190"/>
      <c s="2190"/>
      <c s="2190"/>
      <c s="2190"/>
      <c s="2190"/>
      <c s="2190"/>
      <c s="2190"/>
      <c s="2190"/>
      <c s="2190"/>
      <c s="2190"/>
      <c s="2190"/>
      <c s="2190"/>
      <c s="2190"/>
      <c s="2190"/>
      <c s="2191"/>
      <c s="1577"/>
      <c s="309"/>
      <c s="1577"/>
      <c s="1577"/>
      <c s="1577"/>
      <c s="1577"/>
      <c s="1577"/>
      <c s="1577"/>
      <c s="1577"/>
      <c s="1577"/>
      <c s="1577"/>
      <c s="1577"/>
      <c s="1577"/>
      <c s="1577"/>
      <c s="1577"/>
      <c s="1577"/>
      <c s="1577"/>
      <c s="1577"/>
      <c s="1577"/>
      <c s="1577"/>
      <c s="1577"/>
      <c s="1577"/>
      <c s="1577"/>
      <c s="1577"/>
      <c s="1577"/>
      <c s="1577"/>
      <c s="1577"/>
      <c s="1577"/>
      <c s="1577"/>
      <c s="1557">
        <v>11</v>
      </c>
    </row>
    <row r="35" spans="4:65" ht="15" customHeight="1">
      <c r="D35" s="2186" t="s">
        <v>111</v>
      </c>
      <c s="2182" t="s">
        <v>293</v>
      </c>
      <c s="2182" t="s">
        <v>298</v>
      </c>
      <c s="2188" t="s">
        <v>19</v>
      </c>
      <c s="1602"/>
      <c s="2184"/>
      <c s="2155"/>
      <c s="1517"/>
      <c s="2140"/>
      <c s="2140"/>
      <c s="1587"/>
      <c s="2140"/>
      <c s="2155"/>
      <c s="1588"/>
      <c s="2140"/>
      <c s="2140"/>
      <c s="1589"/>
      <c s="2140"/>
      <c s="2155"/>
      <c s="1590"/>
      <c s="2140"/>
      <c s="2140"/>
      <c s="1587"/>
      <c s="2140"/>
      <c s="2155"/>
      <c s="1591"/>
      <c s="2140"/>
      <c s="2140"/>
      <c s="1516"/>
      <c s="1516"/>
      <c s="1592"/>
      <c s="1299"/>
      <c s="1577"/>
      <c r="BM35" s="296">
        <v>14</v>
      </c>
    </row>
    <row r="36" spans="4:65" ht="14.7" customHeight="1">
      <c r="D36" s="2186"/>
      <c s="2182"/>
      <c s="2182"/>
      <c s="2189"/>
      <c s="1603"/>
      <c s="2185"/>
      <c s="2156"/>
      <c s="1586"/>
      <c s="2141"/>
      <c s="2141"/>
      <c s="1593"/>
      <c s="2141"/>
      <c s="2156"/>
      <c s="1594"/>
      <c s="2141"/>
      <c s="2141"/>
      <c s="1595"/>
      <c s="2141"/>
      <c s="2156"/>
      <c s="1596"/>
      <c s="2141"/>
      <c s="2141"/>
      <c s="1593"/>
      <c s="2141"/>
      <c s="2156"/>
      <c s="1597"/>
      <c s="2141"/>
      <c s="2141"/>
      <c s="1598"/>
      <c s="1598"/>
      <c s="2180"/>
      <c s="2181"/>
      <c s="1577"/>
      <c r="BM36" s="296">
        <v>14</v>
      </c>
    </row>
    <row r="37" spans="4:65" ht="14.7" customHeight="1">
      <c r="D37" s="2186"/>
      <c s="2182"/>
      <c s="2182"/>
      <c s="2189"/>
      <c s="1603"/>
      <c s="2185"/>
      <c s="2156"/>
      <c s="1586"/>
      <c s="2141"/>
      <c s="2141"/>
      <c s="1593"/>
      <c s="2141"/>
      <c s="2156"/>
      <c s="1594"/>
      <c s="2141"/>
      <c s="2141"/>
      <c s="1595"/>
      <c s="2141"/>
      <c s="2156"/>
      <c s="1596"/>
      <c s="2141"/>
      <c s="2141"/>
      <c s="1515"/>
      <c s="1598"/>
      <c s="2180"/>
      <c s="2180"/>
      <c s="2180"/>
      <c s="2180"/>
      <c s="2180"/>
      <c s="2180"/>
      <c s="2180"/>
      <c s="2181"/>
      <c s="1577"/>
      <c r="BM37" s="296">
        <v>14</v>
      </c>
    </row>
    <row r="38" spans="4:65" ht="14.7" customHeight="1">
      <c r="D38" s="2186"/>
      <c s="2182"/>
      <c s="2182"/>
      <c s="2189"/>
      <c s="1603"/>
      <c s="2185"/>
      <c s="2156"/>
      <c s="1586"/>
      <c s="2141"/>
      <c s="2141"/>
      <c s="1593"/>
      <c s="2141"/>
      <c s="2156"/>
      <c s="1594"/>
      <c s="2141"/>
      <c s="2141"/>
      <c s="1599"/>
      <c s="1600"/>
      <c s="2180"/>
      <c s="2180"/>
      <c s="2180"/>
      <c s="2180"/>
      <c s="2180"/>
      <c s="2180"/>
      <c s="2180"/>
      <c s="2180"/>
      <c s="2180"/>
      <c s="2180"/>
      <c s="2180"/>
      <c s="2180"/>
      <c s="2180"/>
      <c s="2181"/>
      <c s="1577"/>
      <c r="BM38" s="296">
        <v>14</v>
      </c>
    </row>
    <row r="39" spans="4:65" ht="11.55" customHeight="1">
      <c r="D39" s="2186"/>
      <c s="2182"/>
      <c s="2182"/>
      <c s="2189"/>
      <c s="1604"/>
      <c s="2185"/>
      <c s="2156"/>
      <c s="1586"/>
      <c s="2141"/>
      <c s="2141"/>
      <c s="1598"/>
      <c s="1598"/>
      <c s="2180"/>
      <c s="2180"/>
      <c s="2180"/>
      <c s="2180"/>
      <c s="2180"/>
      <c s="2180"/>
      <c s="2180"/>
      <c s="2180"/>
      <c s="2180"/>
      <c s="2180"/>
      <c s="2180"/>
      <c s="2180"/>
      <c s="2180"/>
      <c s="2180"/>
      <c s="2180"/>
      <c s="2180"/>
      <c s="2180"/>
      <c s="2180"/>
      <c s="2180"/>
      <c s="2181"/>
      <c s="1577"/>
      <c r="BM39" s="296">
        <v>11</v>
      </c>
    </row>
    <row r="40" spans="4:65" s="1557" customFormat="1" ht="11.55" customHeight="1">
      <c r="D40" s="2186"/>
      <c s="2182"/>
      <c s="2187"/>
      <c s="2115"/>
      <c s="1601"/>
      <c s="1605"/>
      <c s="2190"/>
      <c s="2190"/>
      <c s="2190"/>
      <c s="2190"/>
      <c s="2190"/>
      <c s="2190"/>
      <c s="2190"/>
      <c s="2190"/>
      <c s="2190"/>
      <c s="2190"/>
      <c s="2190"/>
      <c s="2190"/>
      <c s="2190"/>
      <c s="2190"/>
      <c s="2190"/>
      <c s="2190"/>
      <c s="2190"/>
      <c s="2190"/>
      <c s="2190"/>
      <c s="2190"/>
      <c s="2190"/>
      <c s="2190"/>
      <c s="2190"/>
      <c s="2190"/>
      <c s="2190"/>
      <c s="2191"/>
      <c s="1577"/>
      <c s="309"/>
      <c s="1577"/>
      <c s="1577"/>
      <c s="1577"/>
      <c s="1577"/>
      <c s="1577"/>
      <c s="1577"/>
      <c s="1577"/>
      <c s="1577"/>
      <c s="1577"/>
      <c s="1577"/>
      <c s="1577"/>
      <c s="1577"/>
      <c s="1577"/>
      <c s="1577"/>
      <c s="1577"/>
      <c s="1577"/>
      <c s="1577"/>
      <c s="1577"/>
      <c s="1577"/>
      <c s="1577"/>
      <c s="1577"/>
      <c s="1577"/>
      <c s="1577"/>
      <c s="1577"/>
      <c s="1577"/>
      <c s="1577"/>
      <c s="1577"/>
      <c s="1557">
        <v>11</v>
      </c>
    </row>
    <row r="41" spans="37:65" ht="11.55" customHeight="1">
      <c r="AK41" s="426"/>
      <c r="BM41" s="296">
        <v>11</v>
      </c>
    </row>
    <row r="42" spans="37:65" ht="11.55" customHeight="1">
      <c r="AK42" s="426"/>
      <c r="BM42" s="296">
        <v>11</v>
      </c>
    </row>
    <row r="43" spans="37:65" ht="11.55" customHeight="1">
      <c r="AK43" s="426"/>
      <c r="BM43" s="296">
        <v>11</v>
      </c>
    </row>
    <row r="44" spans="37:65" ht="11.55" customHeight="1">
      <c r="AK44" s="426"/>
      <c r="BM44" s="296">
        <v>11</v>
      </c>
    </row>
    <row r="45" spans="37:65" ht="11.55" customHeight="1">
      <c r="AK45" s="426"/>
      <c r="BM45" s="296">
        <v>11</v>
      </c>
    </row>
    <row r="46" spans="37:65" ht="11.55" customHeight="1">
      <c r="AK46" s="426"/>
      <c r="BM46" s="296">
        <v>11</v>
      </c>
    </row>
    <row r="47" spans="37:65" ht="11.55" customHeight="1">
      <c r="AK47" s="426"/>
      <c r="BM47" s="296">
        <v>11</v>
      </c>
    </row>
    <row r="48" spans="37:65" ht="11.55" customHeight="1">
      <c r="AK48" s="426"/>
      <c r="BM48" s="296">
        <v>11</v>
      </c>
    </row>
    <row r="49" spans="37:65" ht="11.55" customHeight="1">
      <c r="AK49" s="426"/>
      <c r="BM49" s="296">
        <v>11</v>
      </c>
    </row>
    <row r="50" spans="1:65" ht="11.25" customHeight="1" hidden="1">
      <c r="A50" s="296" t="s">
        <v>81</v>
      </c>
      <c s="296">
        <v>0</v>
      </c>
      <c s="296">
        <v>3</v>
      </c>
      <c s="296">
        <v>3</v>
      </c>
      <c s="296">
        <v>15</v>
      </c>
      <c s="296">
        <v>15</v>
      </c>
      <c s="296">
        <v>11</v>
      </c>
      <c s="296">
        <v>3</v>
      </c>
      <c s="296">
        <v>3</v>
      </c>
      <c s="296">
        <v>12</v>
      </c>
      <c s="296">
        <v>0</v>
      </c>
      <c s="296">
        <v>10</v>
      </c>
      <c s="296">
        <v>10</v>
      </c>
      <c s="296">
        <v>3</v>
      </c>
      <c s="296">
        <v>3</v>
      </c>
      <c s="296">
        <v>19</v>
      </c>
      <c s="296">
        <v>0</v>
      </c>
      <c s="296">
        <v>10</v>
      </c>
      <c s="296">
        <v>10</v>
      </c>
      <c s="296">
        <v>3</v>
      </c>
      <c s="296">
        <v>3</v>
      </c>
      <c s="296">
        <v>25</v>
      </c>
      <c s="296">
        <v>0</v>
      </c>
      <c s="296">
        <v>10</v>
      </c>
      <c s="296">
        <v>10</v>
      </c>
      <c s="296">
        <v>3</v>
      </c>
      <c s="296">
        <v>3</v>
      </c>
      <c s="296">
        <v>16</v>
      </c>
      <c s="296">
        <v>0</v>
      </c>
      <c s="296">
        <v>10</v>
      </c>
      <c s="296">
        <v>10</v>
      </c>
      <c s="296">
        <v>3</v>
      </c>
      <c s="296">
        <v>3</v>
      </c>
      <c s="296">
        <v>8</v>
      </c>
      <c s="296">
        <v>21</v>
      </c>
      <c s="426">
        <v>8</v>
      </c>
      <c s="309">
        <v>8</v>
      </c>
      <c s="426">
        <v>8</v>
      </c>
      <c s="426">
        <v>8</v>
      </c>
      <c s="426">
        <v>8</v>
      </c>
      <c s="426">
        <v>8</v>
      </c>
      <c s="426">
        <v>8</v>
      </c>
      <c s="426">
        <v>8</v>
      </c>
      <c s="426">
        <v>8</v>
      </c>
      <c s="426">
        <v>8</v>
      </c>
      <c s="426">
        <v>8</v>
      </c>
      <c s="426">
        <v>8</v>
      </c>
      <c s="426">
        <v>8</v>
      </c>
      <c s="426">
        <v>8</v>
      </c>
      <c s="426">
        <v>8</v>
      </c>
      <c s="426">
        <v>8</v>
      </c>
      <c s="426">
        <v>8</v>
      </c>
      <c s="426">
        <v>8</v>
      </c>
      <c s="426">
        <v>8</v>
      </c>
      <c s="426">
        <v>8</v>
      </c>
      <c s="426">
        <v>8</v>
      </c>
      <c s="426">
        <v>8</v>
      </c>
      <c s="426">
        <v>8</v>
      </c>
      <c s="426">
        <v>8</v>
      </c>
      <c s="426">
        <v>8</v>
      </c>
      <c s="426">
        <v>8</v>
      </c>
      <c s="426">
        <v>8</v>
      </c>
      <c s="426">
        <v>8</v>
      </c>
      <c s="426">
        <v>8</v>
      </c>
      <c s="296">
        <v>11</v>
      </c>
    </row>
  </sheetData>
  <sheetProtection formatColumns="0" formatRows="0" insertRows="0" deleteColumns="0" deleteRows="0" sort="0" autoFilter="0"/>
  <mergeCells count="151">
    <mergeCell ref="D4:J4"/>
    <mergeCell ref="D8:D10"/>
    <mergeCell ref="E8:E10"/>
    <mergeCell ref="J8:J10"/>
    <mergeCell ref="AH9:AH10"/>
    <mergeCell ref="Z9:AA10"/>
    <mergeCell ref="AF9:AG10"/>
    <mergeCell ref="X9:Y9"/>
    <mergeCell ref="V9:V10"/>
    <mergeCell ref="T9:U10"/>
    <mergeCell ref="L8:P8"/>
    <mergeCell ref="R8:V8"/>
    <mergeCell ref="X8:AB8"/>
    <mergeCell ref="AD8:AH8"/>
    <mergeCell ref="F8:G8"/>
    <mergeCell ref="F9:F10"/>
    <mergeCell ref="G9:G10"/>
    <mergeCell ref="N9:O10"/>
    <mergeCell ref="H8:I10"/>
    <mergeCell ref="AB9:AB10"/>
    <mergeCell ref="AD9:AE9"/>
    <mergeCell ref="D17:D22"/>
    <mergeCell ref="E17:E22"/>
    <mergeCell ref="F17:F22"/>
    <mergeCell ref="G17:G22"/>
    <mergeCell ref="I17:I21"/>
    <mergeCell ref="J17:J21"/>
    <mergeCell ref="J22:AI22"/>
    <mergeCell ref="P15:AI15"/>
    <mergeCell ref="J16:AI16"/>
    <mergeCell ref="G11:G16"/>
    <mergeCell ref="D11:D16"/>
    <mergeCell ref="E11:E16"/>
    <mergeCell ref="S17:S20"/>
    <mergeCell ref="AB11:AB12"/>
    <mergeCell ref="AD11:AD12"/>
    <mergeCell ref="AE11:AE12"/>
    <mergeCell ref="AH12:AI12"/>
    <mergeCell ref="D23:D28"/>
    <mergeCell ref="E23:E28"/>
    <mergeCell ref="F23:F28"/>
    <mergeCell ref="G23:G28"/>
    <mergeCell ref="I23:I27"/>
    <mergeCell ref="J23:J27"/>
    <mergeCell ref="J28:AI28"/>
    <mergeCell ref="AD17:AD18"/>
    <mergeCell ref="AE17:AE18"/>
    <mergeCell ref="AH18:AI18"/>
    <mergeCell ref="AB19:AI19"/>
    <mergeCell ref="V20:AI20"/>
    <mergeCell ref="P21:AI21"/>
    <mergeCell ref="U17:U19"/>
    <mergeCell ref="V17:V19"/>
    <mergeCell ref="X17:X19"/>
    <mergeCell ref="Y17:Y19"/>
    <mergeCell ref="AA17:AA18"/>
    <mergeCell ref="AB17:AB18"/>
    <mergeCell ref="L17:L21"/>
    <mergeCell ref="M17:M21"/>
    <mergeCell ref="O17:O20"/>
    <mergeCell ref="P17:P20"/>
    <mergeCell ref="R17:R20"/>
    <mergeCell ref="AH24:AI24"/>
    <mergeCell ref="AB25:AI25"/>
    <mergeCell ref="V26:AI26"/>
    <mergeCell ref="P27:AI27"/>
    <mergeCell ref="U23:U25"/>
    <mergeCell ref="V23:V25"/>
    <mergeCell ref="X23:X25"/>
    <mergeCell ref="Y23:Y25"/>
    <mergeCell ref="L23:L27"/>
    <mergeCell ref="M23:M27"/>
    <mergeCell ref="L29:L33"/>
    <mergeCell ref="M29:M33"/>
    <mergeCell ref="O29:O32"/>
    <mergeCell ref="P29:P32"/>
    <mergeCell ref="R29:R32"/>
    <mergeCell ref="S29:S32"/>
    <mergeCell ref="D29:D34"/>
    <mergeCell ref="E29:E34"/>
    <mergeCell ref="F29:F34"/>
    <mergeCell ref="G29:G34"/>
    <mergeCell ref="I29:I33"/>
    <mergeCell ref="J29:J33"/>
    <mergeCell ref="J34:AI34"/>
    <mergeCell ref="AD29:AD30"/>
    <mergeCell ref="AE29:AE30"/>
    <mergeCell ref="AH30:AI30"/>
    <mergeCell ref="AB31:AI31"/>
    <mergeCell ref="V32:AI32"/>
    <mergeCell ref="P33:AI33"/>
    <mergeCell ref="U29:U31"/>
    <mergeCell ref="V29:V31"/>
    <mergeCell ref="X29:X31"/>
    <mergeCell ref="Y29:Y31"/>
    <mergeCell ref="AA29:AA30"/>
    <mergeCell ref="L35:L39"/>
    <mergeCell ref="M35:M39"/>
    <mergeCell ref="O35:O38"/>
    <mergeCell ref="P35:P38"/>
    <mergeCell ref="R35:R38"/>
    <mergeCell ref="S35:S38"/>
    <mergeCell ref="D35:D40"/>
    <mergeCell ref="E35:E40"/>
    <mergeCell ref="F35:F40"/>
    <mergeCell ref="G35:G40"/>
    <mergeCell ref="I35:I39"/>
    <mergeCell ref="J35:J39"/>
    <mergeCell ref="J40:AI40"/>
    <mergeCell ref="AD35:AD36"/>
    <mergeCell ref="AE35:AE36"/>
    <mergeCell ref="AH36:AI36"/>
    <mergeCell ref="AB37:AI37"/>
    <mergeCell ref="V38:AI38"/>
    <mergeCell ref="P39:AI39"/>
    <mergeCell ref="U35:U37"/>
    <mergeCell ref="V35:V37"/>
    <mergeCell ref="X35:X37"/>
    <mergeCell ref="Y35:Y37"/>
    <mergeCell ref="AA35:AA36"/>
    <mergeCell ref="AB35:AB36"/>
    <mergeCell ref="O23:O26"/>
    <mergeCell ref="P23:P26"/>
    <mergeCell ref="R23:R26"/>
    <mergeCell ref="S23:S26"/>
    <mergeCell ref="AB23:AB24"/>
    <mergeCell ref="AD23:AD24"/>
    <mergeCell ref="AE23:AE24"/>
    <mergeCell ref="AA23:AA24"/>
    <mergeCell ref="AB29:AB30"/>
    <mergeCell ref="AI8:AI10"/>
    <mergeCell ref="D5:J5"/>
    <mergeCell ref="AB13:AI13"/>
    <mergeCell ref="Y11:Y13"/>
    <mergeCell ref="X11:X13"/>
    <mergeCell ref="AA11:AA12"/>
    <mergeCell ref="R11:R14"/>
    <mergeCell ref="S11:S14"/>
    <mergeCell ref="U11:U13"/>
    <mergeCell ref="V11:V13"/>
    <mergeCell ref="V14:AI14"/>
    <mergeCell ref="F11:F16"/>
    <mergeCell ref="I11:I15"/>
    <mergeCell ref="J11:J15"/>
    <mergeCell ref="L11:L15"/>
    <mergeCell ref="M11:M15"/>
    <mergeCell ref="O11:O14"/>
    <mergeCell ref="P11:P14"/>
    <mergeCell ref="L9:M9"/>
    <mergeCell ref="P9:P10"/>
    <mergeCell ref="R9:S9"/>
  </mergeCells>
  <dataValidations count="2">
    <dataValidation errorStyle="warning" type="list" allowBlank="1" showInputMessage="1" prompt="Выберите значение из списка или укажите свой вид твердых коммунальных отходов" errorTitle="Ошибка" error="Выберите значение из списка" sqref="AC11 AC17 AC23 AC35 AC29">
      <formula1>list_typeTKO</formula1>
    </dataValidation>
    <dataValidation type="textLength" operator="lessThanOrEqual" allowBlank="1" showInputMessage="1" showErrorMessage="1" errorTitle="Ошибка" error="Допускается ввод не более 900 символов!" sqref="J11:J15 AI29 AI23 P17:P20 J23:J27 J29:J33 AI35 J35:J39 P35:P38 P29:P32 AI17 J17:J21 P23:P26 AI11 P11:P14">
      <formula1>900</formula1>
    </dataValidation>
  </dataValidations>
  <pageMargins left="0.7" right="0.7" top="0.75" bottom="0.75" header="0.3" footer="0.3"/>
  <pageSetup orientation="portrait" paperSize="9"/>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m="http://schemas.microsoft.com/office/excel/2006/main" xmlns:x14ac="http://schemas.microsoft.com/office/spreadsheetml/2009/9/ac" xmlns:xr="http://schemas.microsoft.com/office/spreadsheetml/2014/revision" xmlns:xr2="http://schemas.microsoft.com/office/spreadsheetml/2015/revision2" xmlns:xr3="http://schemas.microsoft.com/office/spreadsheetml/2016/revision3" xr:uid="{DD92BBF9-7F67-1C26-0AF6-E14ADC39E524}" mc:Ignorable="x14ac xr xr2 xr3">
  <sheetPr>
    <tabColor theme="3" tint="0.600000023841858"/>
  </sheetPr>
  <dimension ref="A1:J60"/>
  <sheetViews>
    <sheetView showGridLines="0" zoomScale="90" zoomScaleNormal="90" workbookViewId="0" topLeftCell="A1">
      <pane xSplit="5" ySplit="12" topLeftCell="F13" activePane="bottomRight" state="frozen"/>
      <selection pane="topLeft" activeCell="A1" sqref="A1"/>
      <selection pane="bottomLeft" activeCell="A13" sqref="A13"/>
      <selection pane="topRight" activeCell="F1" sqref="F1"/>
      <selection pane="bottomRight" activeCell="A1" sqref="A1"/>
    </sheetView>
  </sheetViews>
  <sheetFormatPr defaultColWidth="9.14428571428571" defaultRowHeight="11.25" customHeight="1"/>
  <cols>
    <col min="1" max="1" width="15" style="1689" hidden="1" customWidth="1"/>
    <col min="2" max="2" width="15" style="504" hidden="1" customWidth="1"/>
    <col min="3" max="3" width="3" style="458" customWidth="1"/>
    <col min="4" max="4" width="6" style="459" customWidth="1"/>
    <col min="5" max="5" width="52" style="458" customWidth="1"/>
    <col min="6" max="6" width="48" style="458" customWidth="1"/>
    <col min="7" max="7" width="121" style="458" customWidth="1"/>
    <col min="8" max="8" width="8" style="458" customWidth="1"/>
    <col min="9" max="9" width="64" style="458" customWidth="1"/>
    <col min="10" max="10" width="9.14285714285714" style="458" hidden="1"/>
  </cols>
  <sheetData>
    <row r="1" spans="1:10" ht="11.25" customHeight="1" hidden="1">
      <c r="A1" s="1689" t="s">
        <v>299</v>
      </c>
      <c r="J1" s="458" t="s">
        <v>14</v>
      </c>
    </row>
    <row r="2" spans="10:10" ht="11.25" customHeight="1" hidden="1">
      <c r="J2" s="458">
        <v>0</v>
      </c>
    </row>
    <row r="3" spans="1:10" s="480" customFormat="1" ht="11.55" customHeight="1">
      <c r="A3" s="1689"/>
      <c s="504"/>
      <c r="D3" s="481"/>
      <c r="J3" s="480">
        <v>11</v>
      </c>
    </row>
    <row r="4" spans="4:10" ht="27.3" customHeight="1">
      <c r="D4" s="2160" t="str">
        <f>ORG_INFO_NAME_FORM</f>
        <v>Форма 1. Информация об организации, осуществляющей водоотведение (общая информация)</v>
      </c>
      <c s="2161"/>
      <c s="2162"/>
      <c r="I4" s="718"/>
      <c s="458">
        <v>26</v>
      </c>
    </row>
    <row r="5" spans="4:10" ht="18" customHeight="1">
      <c r="D5" s="2179" t="str">
        <f>IF(org=0,"Не определено",org)</f>
        <v>ГУП КК "Кубаньводкомплекс"</v>
      </c>
      <c s="2179"/>
      <c s="2179"/>
      <c r="I5" s="718"/>
      <c s="458">
        <v>17</v>
      </c>
    </row>
    <row r="6" spans="1:10" s="480" customFormat="1" ht="11.55" customHeight="1">
      <c r="A6" s="1689"/>
      <c s="504"/>
      <c r="D6" s="717"/>
      <c s="717"/>
      <c s="755"/>
      <c s="717"/>
      <c r="J6" s="480">
        <v>11</v>
      </c>
    </row>
    <row r="7" spans="1:10" ht="11.25" customHeight="1" hidden="1">
      <c r="A7" s="460"/>
      <c s="505"/>
      <c s="460"/>
      <c s="466"/>
      <c s="2210"/>
      <c s="2210"/>
      <c r="J7" s="458">
        <v>0</v>
      </c>
    </row>
    <row r="8" spans="1:10" ht="11.55" customHeight="1">
      <c r="A8" s="460"/>
      <c s="505"/>
      <c s="460"/>
      <c s="2207" t="s">
        <v>300</v>
      </c>
      <c s="2208"/>
      <c s="2208"/>
      <c s="2211" t="s">
        <v>301</v>
      </c>
      <c r="J8" s="458">
        <v>11</v>
      </c>
    </row>
    <row r="9" spans="1:10" ht="11.55" customHeight="1">
      <c r="A9" s="460"/>
      <c s="505"/>
      <c s="460"/>
      <c s="475" t="s">
        <v>87</v>
      </c>
      <c s="449" t="s">
        <v>302</v>
      </c>
      <c s="449" t="s">
        <v>303</v>
      </c>
      <c s="2212"/>
      <c r="J9" s="458">
        <v>11</v>
      </c>
    </row>
    <row r="10" spans="1:10" ht="12" customHeight="1" hidden="1">
      <c r="A10" s="460"/>
      <c s="505"/>
      <c s="460"/>
      <c s="467"/>
      <c s="467"/>
      <c s="467"/>
      <c s="467"/>
      <c r="J10" s="458">
        <v>0</v>
      </c>
    </row>
    <row r="11" spans="1:10" ht="22.5" customHeight="1" hidden="1">
      <c r="A11" s="460"/>
      <c s="505"/>
      <c s="460"/>
      <c s="1012" t="s">
        <v>109</v>
      </c>
      <c s="1015" t="s">
        <v>304</v>
      </c>
      <c s="1014" t="str">
        <f>IF(region_name="","",region_name)</f>
        <v>Краснодарский край</v>
      </c>
      <c s="1015" t="s">
        <v>305</v>
      </c>
      <c s="478"/>
      <c r="J11" s="458">
        <v>0</v>
      </c>
    </row>
    <row r="12" spans="1:10" ht="22.5" customHeight="1" hidden="1">
      <c r="A12" s="460"/>
      <c s="505"/>
      <c s="460"/>
      <c s="448" t="s">
        <v>109</v>
      </c>
      <c s="447" t="str">
        <f>IF(TEMPLATE_SPHERE="TKO","Данные об организации (индивидуальном предпринимателе)","Данные о регулируемой организации"&amp;IF(TEMPLATE_SPHERE="HEAT",",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f>
        <v>Данные о регулируемой организации</v>
      </c>
      <c s="446" t="s">
        <v>306</v>
      </c>
      <c s="477"/>
      <c s="478"/>
      <c r="J12" s="458">
        <v>0</v>
      </c>
    </row>
    <row r="13" spans="1:10" ht="23.25" customHeight="1">
      <c r="A13" s="460"/>
      <c s="505"/>
      <c s="460"/>
      <c s="448" t="s">
        <v>109</v>
      </c>
      <c s="445" t="str">
        <f>"Наименование юридического лица"&amp;IF(TEMPLATE_SPHERE="TKO"," (индивидуального предпринимателя)","")</f>
        <v>Наименование юридического лица</v>
      </c>
      <c s="444"/>
      <c s="447" t="str">
        <f>"Наименование юридического лица"&amp;IF(TEMPLATE_SPHERE="HEAT"," (согласно уставу регулируемой организации)"," указывается согласно уставу "&amp;IF(TEMPLATE_SPHERE="TKO","организации. Наименование индивидуального предпринимателя указывается согласно сведениям из ЕГРИП.","регулируемой организации."))</f>
        <v>Наименование юридического лица указывается согласно уставу регулируемой организации.</v>
      </c>
      <c s="478"/>
      <c r="J13" s="458">
        <v>22</v>
      </c>
    </row>
    <row r="14" spans="1:10" ht="22.5" customHeight="1" hidden="1">
      <c r="A14" s="460"/>
      <c s="505"/>
      <c s="460"/>
      <c s="1012" t="s">
        <v>307</v>
      </c>
      <c s="1013" t="s">
        <v>308</v>
      </c>
      <c s="1014" t="str">
        <f>IF(inn="","",inn)</f>
        <v>2310010637</v>
      </c>
      <c s="1015" t="s">
        <v>309</v>
      </c>
      <c s="478"/>
      <c r="J14" s="458">
        <v>0</v>
      </c>
    </row>
    <row r="15" spans="1:10" ht="22.5" customHeight="1" hidden="1">
      <c r="A15" s="460"/>
      <c s="505"/>
      <c s="460"/>
      <c s="1012" t="s">
        <v>310</v>
      </c>
      <c s="1013" t="s">
        <v>311</v>
      </c>
      <c s="1014" t="str">
        <f>IF(kpp="","",kpp)</f>
        <v>231101001</v>
      </c>
      <c s="1015" t="s">
        <v>312</v>
      </c>
      <c s="478"/>
      <c r="J15" s="458">
        <v>0</v>
      </c>
    </row>
    <row r="16" spans="1:10" ht="39" customHeight="1">
      <c r="A16" s="460"/>
      <c s="505"/>
      <c s="460"/>
      <c s="448" t="s">
        <v>110</v>
      </c>
      <c s="445" t="str">
        <f>"Основной государственный регистрационный номер (ОГРН)"&amp;IF(TEMPLATE_SPHERE="TKO",""," (основной государственный регистрационный номер индивидуального предпринимателя (ОГРНИП)")</f>
        <v>Основной государственный регистрационный номер (ОГРН) (основной государственный регистрационный номер индивидуального предпринимателя (ОГРНИП)</v>
      </c>
      <c s="444"/>
      <c s="447" t="str">
        <f>"Указывается основной государственный регистрационный номер юридического лица"&amp;IF(TEMPLATE_SPHERE="TKO",""," (индивидуального предпринимателя)")&amp;"."</f>
        <v>Указывается основной государственный регистрационный номер юридического лица (индивидуального предпринимателя).</v>
      </c>
      <c s="478"/>
      <c r="J16" s="458">
        <v>37</v>
      </c>
    </row>
    <row r="17" spans="1:10" ht="23.25" customHeight="1">
      <c r="A17" s="460"/>
      <c s="505"/>
      <c s="460"/>
      <c s="448" t="s">
        <v>89</v>
      </c>
      <c s="445" t="str">
        <f>"Дата присвоения ОГРН"&amp;IF(TEMPLATE_SPHERE="TKO",""," (ОГРНИП)")</f>
        <v>Дата присвоения ОГРН (ОГРНИП)</v>
      </c>
      <c s="1735" t="s">
        <v>22</v>
      </c>
      <c s="447" t="str">
        <f>"Дата присвоения ОГРН"&amp;IF(TEMPLATE_SPHERE="TKO",""," (ОГРНИП)")&amp;" указывается в виде «ДД.ММ.ГГГГ»."</f>
        <v>Дата присвоения ОГРН (ОГРНИП) указывается в виде «ДД.ММ.ГГГГ».</v>
      </c>
      <c s="478"/>
      <c r="J17" s="458">
        <v>22</v>
      </c>
    </row>
    <row r="18" spans="1:10" ht="71.25" customHeight="1">
      <c r="A18" s="460"/>
      <c s="505"/>
      <c s="460"/>
      <c s="448" t="s">
        <v>90</v>
      </c>
      <c s="445" t="str">
        <f>"Наименование органа, принявшего решение о "&amp;IF(TEMPLATE_SPHERE="TKO","государственной регистрации организации ","регистрации в соответствии со свидетельством о государственной регистрации")&amp;" в качестве юридического лица (о государственной регистрации физического лица в качестве индивидуального предпринимателя)"</f>
        <v>Наименование органа, принявшего решение о регистрации в соответствии со свидетельством о государственной регистрации в качестве юридического лица (о государственной регистрации физического лица в качестве индивидуального предпринимателя)</v>
      </c>
      <c s="444"/>
      <c s="477"/>
      <c s="478"/>
      <c r="J18" s="458">
        <v>68</v>
      </c>
    </row>
    <row r="19" spans="1:10" ht="22.5" customHeight="1" hidden="1">
      <c r="A19" s="2205" t="s">
        <v>313</v>
      </c>
      <c s="505"/>
      <c s="2216"/>
      <c s="448" t="str">
        <f>A19</f>
        <v>5.1</v>
      </c>
      <c s="445" t="s">
        <v>314</v>
      </c>
      <c s="446" t="s">
        <v>306</v>
      </c>
      <c s="447" t="s">
        <v>315</v>
      </c>
      <c s="478"/>
      <c s="855"/>
      <c s="458">
        <v>0</v>
      </c>
    </row>
    <row r="20" spans="1:10" ht="24" customHeight="1" hidden="1">
      <c r="A20" s="2205"/>
      <c s="505"/>
      <c s="2216"/>
      <c s="443" t="str">
        <f>D19&amp;".1"</f>
        <v>5.1.1</v>
      </c>
      <c s="442" t="s">
        <v>316</v>
      </c>
      <c s="884" t="s">
        <v>22</v>
      </c>
      <c s="477"/>
      <c s="478"/>
      <c s="855"/>
      <c s="458">
        <v>0</v>
      </c>
    </row>
    <row r="21" spans="1:10" ht="22.5" customHeight="1" hidden="1">
      <c r="A21" s="2205"/>
      <c s="505"/>
      <c s="2216"/>
      <c s="443" t="str">
        <f>D19&amp;".2"</f>
        <v>5.1.2</v>
      </c>
      <c s="442" t="s">
        <v>317</v>
      </c>
      <c s="1736" t="s">
        <v>22</v>
      </c>
      <c s="447" t="s">
        <v>318</v>
      </c>
      <c s="478"/>
      <c s="855"/>
      <c s="458">
        <v>0</v>
      </c>
    </row>
    <row r="22" spans="1:10" ht="22.5" customHeight="1" hidden="1">
      <c r="A22" s="2205"/>
      <c s="505"/>
      <c s="2216"/>
      <c s="443" t="str">
        <f>D19&amp;".3"</f>
        <v>5.1.3</v>
      </c>
      <c s="442" t="s">
        <v>319</v>
      </c>
      <c s="884" t="s">
        <v>22</v>
      </c>
      <c s="477"/>
      <c s="478"/>
      <c s="855"/>
      <c s="458">
        <v>0</v>
      </c>
    </row>
    <row r="23" spans="1:10" ht="22.5" customHeight="1" hidden="1">
      <c r="A23" s="2205"/>
      <c s="505"/>
      <c s="2216"/>
      <c s="443" t="str">
        <f>D19&amp;".4"</f>
        <v>5.1.4</v>
      </c>
      <c s="442" t="s">
        <v>320</v>
      </c>
      <c s="884" t="s">
        <v>22</v>
      </c>
      <c s="447" t="s">
        <v>321</v>
      </c>
      <c s="478"/>
      <c s="855"/>
      <c s="458">
        <v>0</v>
      </c>
    </row>
    <row r="24" spans="1:10" ht="22.5" customHeight="1" hidden="1">
      <c r="A24" s="1981"/>
      <c s="505"/>
      <c s="495"/>
      <c s="470"/>
      <c s="1171" t="s">
        <v>322</v>
      </c>
      <c s="471"/>
      <c s="472"/>
      <c s="478"/>
      <c s="855"/>
      <c s="458">
        <v>0</v>
      </c>
    </row>
    <row r="25" spans="1:10" s="504" customFormat="1" ht="24.75" customHeight="1" hidden="1">
      <c r="A25" s="460"/>
      <c s="505"/>
      <c s="505"/>
      <c s="1009" t="s">
        <v>89</v>
      </c>
      <c s="1011" t="s">
        <v>323</v>
      </c>
      <c s="1016" t="s">
        <v>306</v>
      </c>
      <c s="1011"/>
      <c r="J25" s="504">
        <v>0</v>
      </c>
    </row>
    <row r="26" spans="1:10" s="504" customFormat="1" ht="11.25" customHeight="1" hidden="1">
      <c r="A26" s="460"/>
      <c s="505"/>
      <c s="505"/>
      <c s="1009" t="s">
        <v>324</v>
      </c>
      <c s="1010" t="s">
        <v>325</v>
      </c>
      <c s="1016" t="s">
        <v>306</v>
      </c>
      <c s="1011"/>
      <c r="J26" s="504">
        <v>0</v>
      </c>
    </row>
    <row r="27" spans="1:10" s="504" customFormat="1" ht="11.25" customHeight="1" hidden="1">
      <c r="A27" s="460"/>
      <c s="505"/>
      <c s="505"/>
      <c s="1009" t="s">
        <v>326</v>
      </c>
      <c s="1017" t="s">
        <v>327</v>
      </c>
      <c s="1018"/>
      <c s="1011" t="str">
        <f>"Указывается фамилия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фамилия должностного лица организации водоотведения, ответственного за размещение данных, в соответствии с паспортными данными физического лица.</v>
      </c>
      <c r="J27" s="504">
        <v>0</v>
      </c>
    </row>
    <row r="28" spans="1:10" s="504" customFormat="1" ht="11.25" customHeight="1" hidden="1">
      <c r="A28" s="460"/>
      <c s="505"/>
      <c s="505"/>
      <c s="1009" t="s">
        <v>328</v>
      </c>
      <c s="1017" t="s">
        <v>329</v>
      </c>
      <c s="1018"/>
      <c s="1011" t="str">
        <f>"Указывается имя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имя должностного лица организации водоотведения, ответственного за размещение данных, в соответствии с паспортными данными физического лица.</v>
      </c>
      <c r="J28" s="504">
        <v>0</v>
      </c>
    </row>
    <row r="29" spans="1:10" s="504" customFormat="1" ht="11.25" customHeight="1" hidden="1">
      <c r="A29" s="460"/>
      <c s="505"/>
      <c s="505"/>
      <c s="1009" t="s">
        <v>330</v>
      </c>
      <c s="1017" t="s">
        <v>331</v>
      </c>
      <c s="1018"/>
      <c s="1011" t="str">
        <f>"Указывается отчество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 (при наличии)."</f>
        <v>Указывается отчество должностного лица организации водоотведения, ответственного за размещение данных, в соответствии с паспортными данными физического лица (при наличии).</v>
      </c>
      <c r="J29" s="504">
        <v>0</v>
      </c>
    </row>
    <row r="30" spans="1:10" s="504" customFormat="1" ht="11.25" customHeight="1" hidden="1">
      <c r="A30" s="460"/>
      <c s="505"/>
      <c s="505"/>
      <c s="1009" t="s">
        <v>332</v>
      </c>
      <c s="1010" t="s">
        <v>333</v>
      </c>
      <c s="1018"/>
      <c s="1011"/>
      <c r="J30" s="504">
        <v>0</v>
      </c>
    </row>
    <row r="31" spans="1:10" s="504" customFormat="1" ht="11.25" customHeight="1" hidden="1">
      <c r="A31" s="460"/>
      <c s="505"/>
      <c s="505"/>
      <c s="1009" t="s">
        <v>334</v>
      </c>
      <c s="1010" t="s">
        <v>335</v>
      </c>
      <c s="1018"/>
      <c s="1011"/>
      <c r="J31" s="504">
        <v>0</v>
      </c>
    </row>
    <row r="32" spans="1:10" s="504" customFormat="1" ht="11.25" customHeight="1" hidden="1">
      <c r="A32" s="460"/>
      <c s="505"/>
      <c s="505"/>
      <c s="1009" t="s">
        <v>336</v>
      </c>
      <c s="1010" t="s">
        <v>337</v>
      </c>
      <c s="1019"/>
      <c s="1011"/>
      <c r="J32" s="504">
        <v>0</v>
      </c>
    </row>
    <row r="33" spans="1:10" ht="24" customHeight="1">
      <c r="A33" s="460" t="str">
        <f>IF(TEMPLATE_SPHERE="HEAT","6","5")</f>
        <v>5</v>
      </c>
      <c s="505"/>
      <c s="460"/>
      <c s="443" t="str">
        <f>A33</f>
        <v>5</v>
      </c>
      <c s="441" t="str">
        <f>"Фамилия, имя и отчество руководителя"&amp;IF(TEMPLATE_SPHERE="HEAT"," регулируемой организации, ЕТО, ТО ",IF(TEMPLATE_SPHERE&lt;&gt;"TKO"," регулируемой организации"," организации"))&amp;IF(TEMPLATE_SPHERE&lt;&gt;"TKO"," (индивидуального предпринимателя)","")&amp;":"</f>
        <v>Фамилия, имя и отчество руководителя регулируемой организации (индивидуального предпринимателя):</v>
      </c>
      <c s="446" t="s">
        <v>306</v>
      </c>
      <c s="477"/>
      <c s="478"/>
      <c r="J33" s="458">
        <v>23</v>
      </c>
    </row>
    <row r="34" spans="1:10" ht="23.25" customHeight="1">
      <c r="A34" s="460"/>
      <c s="505"/>
      <c s="460"/>
      <c s="443" t="str">
        <f>D33&amp;".1"</f>
        <v>5.1</v>
      </c>
      <c s="445" t="str">
        <f>"фамилия"&amp;IF(TEMPLATE_SPHERE&lt;&gt;"HEAT"," руководителя","")</f>
        <v>фамилия руководителя</v>
      </c>
      <c s="444"/>
      <c s="447" t="str">
        <f>"Указывается фамилия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фамилия руководителя регулируемой организации в соответствии с паспортными данными физического лица.</v>
      </c>
      <c s="478"/>
      <c r="J34" s="458">
        <v>22</v>
      </c>
    </row>
    <row r="35" spans="1:10" ht="23.25" customHeight="1">
      <c r="A35" s="460"/>
      <c s="505"/>
      <c s="460"/>
      <c s="443" t="str">
        <f>D33&amp;".2"</f>
        <v>5.2</v>
      </c>
      <c s="445" t="str">
        <f>"имя"&amp;IF(TEMPLATE_SPHERE&lt;&gt;"HEAT"," руководителя","")</f>
        <v>имя руководителя</v>
      </c>
      <c s="444"/>
      <c s="447" t="str">
        <f>"Указывается имя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имя руководителя регулируемой организации в соответствии с паспортными данными физического лица.</v>
      </c>
      <c s="478"/>
      <c r="J35" s="458">
        <v>22</v>
      </c>
    </row>
    <row r="36" spans="1:10" ht="24" customHeight="1">
      <c r="A36" s="460"/>
      <c s="505"/>
      <c s="460"/>
      <c s="443" t="str">
        <f>D33&amp;".3"</f>
        <v>5.3</v>
      </c>
      <c s="445" t="str">
        <f>"отчество"&amp;IF(TEMPLATE_SPHERE&lt;&gt;"HEAT"," руководителя","")</f>
        <v>отчество руководителя</v>
      </c>
      <c s="701"/>
      <c s="447" t="str">
        <f>"Указывается отчество руководителя"&amp;IF(TEMPLATE_SPHERE&lt;&gt;"TKO"," регулируемой организации"&amp;IF(TEMPLATE_SPHERE="HEAT",", ЕТО, ТО","")," организации")&amp;" в соответствии с паспортными данными физического лица (при наличии)."</f>
        <v>Указывается отчество руководителя регулируемой организации в соответствии с паспортными данными физического лица (при наличии).</v>
      </c>
      <c s="478"/>
      <c r="J36" s="458">
        <v>23</v>
      </c>
    </row>
    <row r="37" spans="1:10" ht="35.7" customHeight="1">
      <c r="A37" s="460"/>
      <c s="505"/>
      <c s="460"/>
      <c s="443">
        <f>D33+1</f>
        <v>6</v>
      </c>
      <c s="441" t="str">
        <f>"Почтовый адрес органов управления"&amp;IF(TEMPLATE_SPHERE&lt;&gt;"TKO"," регулируемой","")&amp;" организации"&amp;IF(TEMPLATE_SPHERE="HEAT",", ЕТО, ТО","")</f>
        <v>Почтовый адрес органов управления регулируемой организации</v>
      </c>
      <c s="444"/>
      <c s="447" t="s">
        <v>338</v>
      </c>
      <c s="478"/>
      <c r="J37" s="458">
        <v>34</v>
      </c>
    </row>
    <row r="38" spans="1:10" ht="35.7" customHeight="1">
      <c r="A38" s="460"/>
      <c s="505"/>
      <c s="460"/>
      <c s="443">
        <f>D37+1</f>
        <v>7</v>
      </c>
      <c s="441" t="str">
        <f>"Адрес места нахождения органов управления"&amp;IF(TEMPLATE_SPHERE&lt;&gt;"TKO"," регулируемой","")&amp;" организации"&amp;IF(TEMPLATE_SPHERE="HEAT",", ЕТО, ТО","")</f>
        <v>Адрес места нахождения органов управления регулируемой организации</v>
      </c>
      <c s="444"/>
      <c s="447" t="s">
        <v>338</v>
      </c>
      <c s="478"/>
      <c r="J38" s="458">
        <v>34</v>
      </c>
    </row>
    <row r="39" spans="1:10" ht="23.25" customHeight="1">
      <c r="A39" s="460"/>
      <c s="505"/>
      <c s="460"/>
      <c s="443">
        <f>D38+1</f>
        <v>8</v>
      </c>
      <c s="440" t="str">
        <f>"Контактные телефоны "&amp;IF(TEMPLATE_SPHERE="TKO","","регулируемой ")&amp;"организации"&amp;IF(TEMPLATE_SPHERE="HEAT",", ЕТО, ТО",IF(TEMPLATE_SPHERE="TKO"," (индивидуального предпринимателя)",""))</f>
        <v>Контактные телефоны регулируемой организации</v>
      </c>
      <c s="446" t="s">
        <v>306</v>
      </c>
      <c s="2213" t="str">
        <f>"Указывается номер контактного телефона"&amp;IF(TEMPLATE_SPHERE&lt;&gt;"TKO"," регулируемой","")&amp;" организации.
В случае наличия нескольких номеров телефонов, информация по каждому из них указывается в отдельной строке."</f>
        <v>Указывается номер контактного телефона регулируемой организации.
В случае наличия нескольких номеров телефонов, информация по каждому из них указывается в отдельной строке.</v>
      </c>
      <c s="478"/>
      <c r="J39" s="458">
        <v>22</v>
      </c>
    </row>
    <row r="40" spans="1:10" ht="22.5" customHeight="1" hidden="1">
      <c r="A40" s="460"/>
      <c s="505"/>
      <c s="460"/>
      <c s="443" t="str">
        <f>D39&amp;".0"</f>
        <v>8.0</v>
      </c>
      <c s="1608"/>
      <c s="884"/>
      <c s="2214"/>
      <c s="478"/>
      <c r="J40" s="458">
        <v>0</v>
      </c>
    </row>
    <row r="41" spans="1:10" ht="23.25" customHeight="1">
      <c r="A41" s="460"/>
      <c s="460"/>
      <c s="1691"/>
      <c s="443" t="str">
        <f>D39&amp;".1"</f>
        <v>8.1</v>
      </c>
      <c s="863"/>
      <c s="864"/>
      <c s="2214"/>
      <c s="478"/>
      <c r="J41" s="458">
        <v>22</v>
      </c>
    </row>
    <row r="42" spans="1:10" ht="15.75" customHeight="1">
      <c r="A42" s="460"/>
      <c s="505"/>
      <c s="460"/>
      <c s="470"/>
      <c s="418" t="s">
        <v>339</v>
      </c>
      <c s="472"/>
      <c s="2215"/>
      <c s="479"/>
      <c r="J42" s="458">
        <v>15</v>
      </c>
    </row>
    <row r="43" spans="1:10" ht="27.3" customHeight="1">
      <c r="A43" s="460"/>
      <c s="505"/>
      <c s="460"/>
      <c s="443">
        <f>D39+1</f>
        <v>9</v>
      </c>
      <c s="441" t="str">
        <f>IF(TEMPLATE_SPHERE="TKO","Адрес официального сайта организации в сети «Интернет»","Официальный сайт регулируемой организации"&amp;IF(TEMPLATE_SPHERE="HEAT",", ЕТО, ТО","")&amp;" в сети «Интернет»")</f>
        <v>Официальный сайт регулируемой организации в сети «Интернет»</v>
      </c>
      <c s="865"/>
      <c s="447" t="str">
        <f>"Указывается адрес официального сайта"&amp;IF(TEMPLATE_SPHERE&lt;&gt;"TKO"," регулируемой","")&amp;" организации"&amp;" в сети «Интернет». В случае отсутствия официального сайта"&amp;IF(TEMPLATE_SPHERE&lt;&gt;"TKO"," регулируемой","")&amp;" организации в сети «Интернет» указывается «Отсутствует»."</f>
        <v>Указывается адрес официального сайта регулируемой организации в сети «Интернет». В случае отсутствия официального сайта регулируемой организации в сети «Интернет» указывается «Отсутствует».</v>
      </c>
      <c s="478"/>
      <c r="J43" s="458">
        <v>26</v>
      </c>
    </row>
    <row r="44" spans="1:10" ht="23.25" customHeight="1">
      <c r="A44" s="460"/>
      <c s="505"/>
      <c s="460"/>
      <c s="443">
        <f>D43+1</f>
        <v>10</v>
      </c>
      <c s="441" t="str">
        <f>"Адрес электронной почты "&amp;IF(TEMPLATE_SPHERE="TKO","","регулируемой ")&amp;"организации"&amp;IF(TEMPLATE_SPHERE="HEAT",", ЕТО, ТО",IF(TEMPLATE_SPHERE="TKO"," (индивидуального предпринимателя)",""))</f>
        <v>Адрес электронной почты регулируемой организации</v>
      </c>
      <c s="381"/>
      <c s="477" t="s">
        <v>340</v>
      </c>
      <c s="478"/>
      <c r="J44" s="458">
        <v>22</v>
      </c>
    </row>
    <row r="45" spans="1:10" ht="23.25" customHeight="1">
      <c r="A45" s="460"/>
      <c s="505"/>
      <c s="460"/>
      <c s="443">
        <f>D44+1</f>
        <v>11</v>
      </c>
      <c s="441" t="s">
        <v>341</v>
      </c>
      <c s="446" t="s">
        <v>306</v>
      </c>
      <c s="440" t="str">
        <f>IF(TEMPLATE_SPHERE="TKO","Указывается режим работы организации.","")</f>
        <v/>
      </c>
      <c s="478"/>
      <c r="J45" s="458">
        <v>22</v>
      </c>
    </row>
    <row r="46" spans="1:10" ht="24" customHeight="1">
      <c r="A46" s="460"/>
      <c s="505"/>
      <c s="460"/>
      <c s="443" t="str">
        <f>D45&amp;".1"</f>
        <v>11.1</v>
      </c>
      <c s="445" t="str">
        <f>"режим работы регулируемой организации"&amp;IF(TEMPLATE_SPHERE="HEAT",", ЕТО, ТО","")</f>
        <v>режим работы регулируемой организации</v>
      </c>
      <c s="1687"/>
      <c s="440" t="s">
        <v>342</v>
      </c>
      <c s="478"/>
      <c r="J46" s="458">
        <v>23</v>
      </c>
    </row>
    <row r="47" spans="1:10" ht="24" customHeight="1">
      <c r="A47" s="2205"/>
      <c s="505"/>
      <c s="495"/>
      <c s="443" t="str">
        <f>D45&amp;".2"</f>
        <v>11.2</v>
      </c>
      <c s="445" t="s">
        <v>343</v>
      </c>
      <c s="493"/>
      <c s="440" t="s">
        <v>344</v>
      </c>
      <c s="478"/>
      <c r="J47" s="458">
        <v>23</v>
      </c>
    </row>
    <row r="48" spans="1:10" ht="24" customHeight="1">
      <c r="A48" s="2205"/>
      <c s="505"/>
      <c s="495"/>
      <c s="443" t="str">
        <f>D45&amp;".3"</f>
        <v>11.3</v>
      </c>
      <c s="445" t="s">
        <v>345</v>
      </c>
      <c s="493"/>
      <c s="440" t="s">
        <v>346</v>
      </c>
      <c s="478"/>
      <c r="J48" s="458">
        <v>23</v>
      </c>
    </row>
    <row r="49" spans="1:10" ht="24" customHeight="1">
      <c r="A49" s="2205"/>
      <c s="505"/>
      <c s="495"/>
      <c s="443" t="str">
        <f>IF(TEMPLATE_SPHERE="TKO",D45&amp;".0",D45&amp;".4")</f>
        <v>11.4</v>
      </c>
      <c s="439" t="s">
        <v>347</v>
      </c>
      <c s="1688"/>
      <c s="1765" t="s">
        <v>348</v>
      </c>
      <c s="478"/>
      <c r="J49" s="458">
        <v>23</v>
      </c>
    </row>
    <row r="50" spans="1:10" ht="24" customHeight="1">
      <c r="A50" s="460"/>
      <c s="505"/>
      <c s="460"/>
      <c s="470"/>
      <c s="418" t="s">
        <v>349</v>
      </c>
      <c s="471"/>
      <c s="1765" t="s">
        <v>350</v>
      </c>
      <c s="479"/>
      <c r="J50" s="458">
        <v>23</v>
      </c>
    </row>
    <row r="51" spans="1:10" ht="24" customHeight="1">
      <c r="A51" s="861"/>
      <c s="505"/>
      <c s="495"/>
      <c s="443">
        <f>D45+1</f>
        <v>12</v>
      </c>
      <c s="531" t="s">
        <v>351</v>
      </c>
      <c s="493"/>
      <c s="1692" t="str">
        <f>"Указывается наличие «да» или отсутствие «нет» утвержденной в установленном порядке инвестиционной программы"&amp;IF(TEMPLATE_SPHERE="HEAT","В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"&amp;"а также требований к составу и содержанию таких программ (за исключением таких программ, утверждаемых "&amp;"в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"&amp;"в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f>
        <v>Указывается наличие «да» или отсутствие «нет» утвержденной в установленном порядке инвестиционной программы</v>
      </c>
      <c s="478"/>
      <c r="J51" s="458">
        <v>23</v>
      </c>
    </row>
    <row r="52" spans="1:10" ht="11.55" customHeight="1">
      <c r="A52" s="460"/>
      <c s="505"/>
      <c s="460"/>
      <c r="J52" s="458">
        <v>11</v>
      </c>
    </row>
    <row r="53" spans="1:10" s="463" customFormat="1" ht="31.5" customHeight="1">
      <c r="A53" s="1690"/>
      <c s="506"/>
      <c s="2206"/>
      <c s="2209" t="str">
        <f>"В случае если регулируемая организация"&amp;IF(TEMPLATE_SPHERE="HEAT",",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теплоснабжения","")&amp;" осуществляет несколько видов деятельности в сфере "&amp;TEMPLATE_SPHERE_RUS&amp;", информация о которых подлежит раскрытию в соответствии со Стандартами раскрытия информации в сфере "&amp;IF(TEMPLATE_SPHERE="HEAT","теплоснабжения","водоснабжения и водоотведения")&amp;", утвержденными постановлением Правительства Российской Федерации от 26.01.2023 № "&amp;IF(TEMPLATE_SPHERE="HEAT","110",IF(TEMPLATE_SPHERE="TKO","109 ""Об утверждении стандартов раскрытия информации в области обращения с твердыми коммунальными отходами""","108"))&amp;", информация по каждому виду деятельности раскрывается отдельно."</f>
        <v>В случае если регулируемая организация осуществляет несколько видов деятельности в сфере водоотведения, информация о которых подлежит раскрытию в соответствии со Стандартами раскрытия информации в сфере водоснабжения и водоотведения, утвержденными постановлением Правительства Российской Федерации от 26.01.2023 № 108, информация по каждому виду деятельности раскрывается отдельно.</v>
      </c>
      <c s="2209"/>
      <c s="2209"/>
      <c s="2209"/>
      <c s="457"/>
      <c s="457"/>
      <c s="463">
        <v>30</v>
      </c>
    </row>
    <row r="54" spans="1:10" s="463" customFormat="1" ht="42" customHeight="1">
      <c r="A54" s="460"/>
      <c s="505"/>
      <c s="2206"/>
      <c s="2209" t="str">
        <f>IF(ORG_INFO_P_NOTE_MAIN=0,"",ORG_INFO_P_NOTE_MAIN)</f>
        <v>В случае если регулируемыми организациями оказываются услуги по водоотведению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v>
      </c>
      <c s="2209"/>
      <c s="2209"/>
      <c s="2209"/>
      <c r="J54" s="463">
        <v>40</v>
      </c>
    </row>
    <row r="55" spans="4:10" ht="11.55" customHeight="1">
      <c r="D55" s="461"/>
      <c s="462"/>
      <c s="462"/>
      <c s="462"/>
      <c r="J55" s="458">
        <v>11</v>
      </c>
    </row>
    <row r="56" spans="4:10" ht="28.5" customHeight="1">
      <c r="D56" s="464"/>
      <c s="461"/>
      <c s="473"/>
      <c s="473"/>
      <c r="J56" s="458">
        <v>27</v>
      </c>
    </row>
    <row r="57" spans="4:10" ht="11.55" customHeight="1">
      <c r="D57" s="461"/>
      <c s="461"/>
      <c s="462"/>
      <c s="462"/>
      <c r="J57" s="458">
        <v>11</v>
      </c>
    </row>
    <row r="58" spans="4:10" ht="40.95" customHeight="1">
      <c r="D58" s="465"/>
      <c s="474"/>
      <c s="474"/>
      <c s="474"/>
      <c r="J58" s="458">
        <v>39</v>
      </c>
    </row>
    <row r="59" spans="4:10" ht="28.5" customHeight="1">
      <c r="D59" s="465"/>
      <c s="474"/>
      <c s="474"/>
      <c s="474"/>
      <c r="J59" s="458">
        <v>27</v>
      </c>
    </row>
    <row r="60" spans="1:10" ht="11.25" customHeight="1" hidden="1">
      <c r="A60" s="1689" t="s">
        <v>81</v>
      </c>
      <c s="504">
        <v>0</v>
      </c>
      <c s="458">
        <v>3</v>
      </c>
      <c s="459">
        <v>6</v>
      </c>
      <c s="458">
        <v>52</v>
      </c>
      <c s="458">
        <v>48</v>
      </c>
      <c s="458">
        <v>121</v>
      </c>
      <c s="458">
        <v>8</v>
      </c>
      <c s="458">
        <v>64</v>
      </c>
      <c s="458">
        <v>11</v>
      </c>
    </row>
  </sheetData>
  <sheetProtection formatColumns="0" formatRows="0" insertRows="0" deleteColumns="0" deleteRows="0" sort="0" autoFilter="0"/>
  <mergeCells count="12">
    <mergeCell ref="D4:F4"/>
    <mergeCell ref="A47:A49"/>
    <mergeCell ref="C53:C54"/>
    <mergeCell ref="D8:F8"/>
    <mergeCell ref="D53:G53"/>
    <mergeCell ref="D54:G54"/>
    <mergeCell ref="E7:F7"/>
    <mergeCell ref="G8:G9"/>
    <mergeCell ref="D5:F5"/>
    <mergeCell ref="G39:G42"/>
    <mergeCell ref="A19:A23"/>
    <mergeCell ref="C19:C23"/>
  </mergeCells>
  <dataValidations count="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17 F21"/>
    <dataValidation type="textLength" operator="lessThanOrEqual" allowBlank="1" showInputMessage="1" showErrorMessage="1" errorTitle="Ошибка" error="Допускается ввод не более 900 символов!" sqref="F13 F43:F44 F27:F32 F16 E40:F41 F18 F20 F34:F38 F22:F23">
      <formula1>900</formula1>
    </dataValidation>
    <dataValidation type="list" allowBlank="1" showDropDown="1" showInputMessage="1" showErrorMessage="1" prompt="Для выбора выполните двойной щелчок левой клавиши мыши по соответствующей ячейке." error="для выбора выполните двойной щелчок по ячейке" sqref="F46:F49 F51">
      <formula1>"a"</formula1>
    </dataValidation>
  </dataValidations>
  <pageMargins left="0.7" right="0.7" top="0.75" bottom="0.75" header="0.3" footer="0.3"/>
  <pageSetup orientation="portrait" paperSize="9"/>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m="http://schemas.microsoft.com/office/excel/2006/main" xmlns:x14ac="http://schemas.microsoft.com/office/spreadsheetml/2009/9/ac" xmlns:xr="http://schemas.microsoft.com/office/spreadsheetml/2014/revision" xmlns:xr2="http://schemas.microsoft.com/office/spreadsheetml/2015/revision2" xmlns:xr3="http://schemas.microsoft.com/office/spreadsheetml/2016/revision3" xr:uid="{3017F9DE-DD86-06F8-C0ED-527E3520DFDB}" mc:Ignorable="x14ac xr xr2 xr3">
  <sheetPr>
    <tabColor theme="3" tint="0.600000023841858"/>
  </sheetPr>
  <dimension ref="A1:AT18"/>
  <sheetViews>
    <sheetView showGridLines="0" zoomScale="90" zoomScaleNormal="90" workbookViewId="0" topLeftCell="A1">
      <pane xSplit="5" ySplit="11" topLeftCell="F12" activePane="bottomRight" state="frozen"/>
      <selection pane="topLeft" activeCell="A1" sqref="A1"/>
      <selection pane="bottomLeft" activeCell="A12" sqref="A12"/>
      <selection pane="topRight" activeCell="F1" sqref="F1"/>
      <selection pane="bottomRight" activeCell="A1" sqref="A1"/>
    </sheetView>
  </sheetViews>
  <sheetFormatPr defaultColWidth="10.5742857142857" defaultRowHeight="14.25" customHeight="1"/>
  <cols>
    <col min="1" max="1" width="9.14285714285714" style="1635" hidden="1" customWidth="1"/>
    <col min="2" max="2" width="9.14285714285714" style="1638" hidden="1" customWidth="1"/>
    <col min="3" max="3" width="3" style="1845" customWidth="1"/>
    <col min="4" max="4" width="5" style="1638" customWidth="1"/>
    <col min="5" max="5" width="48" style="1638" customWidth="1"/>
    <col min="6" max="6" width="38" style="1638" customWidth="1"/>
    <col min="7" max="7" width="1.71428571428571" style="1638" hidden="1" customWidth="1"/>
    <col min="8" max="11" width="19.8571428571429" style="1638" hidden="1" customWidth="1"/>
    <col min="12" max="12" width="9.71428571428571" style="1638" hidden="1" customWidth="1"/>
    <col min="13" max="18" width="19.8571428571429" style="1638" hidden="1" customWidth="1"/>
    <col min="19" max="19" width="1.71428571428571" style="1638" hidden="1" customWidth="1"/>
    <col min="20" max="22" width="19.8571428571429" style="1638" customWidth="1"/>
    <col min="23" max="23" width="1.71428571428571" style="1638" hidden="1" customWidth="1"/>
    <col min="24" max="26" width="19.8571428571429" style="1638" hidden="1" customWidth="1"/>
    <col min="27" max="27" width="1.71428571428571" style="1638" hidden="1" customWidth="1"/>
    <col min="28" max="29" width="19.8571428571429" style="1638" hidden="1" customWidth="1"/>
    <col min="30" max="30" width="1.71428571428571" style="1638" hidden="1" customWidth="1"/>
    <col min="31" max="31" width="103.714285714286" style="1638" hidden="1" customWidth="1"/>
    <col min="32" max="32" width="103.714285714286" style="1638" customWidth="1"/>
    <col min="33" max="34" width="103.714285714286" style="1638" hidden="1" customWidth="1"/>
    <col min="35" max="35" width="3" style="1822" customWidth="1"/>
    <col min="36" max="38" width="10" style="1645" customWidth="1"/>
    <col min="39" max="39" width="13.7142857142857" style="1645" hidden="1" customWidth="1"/>
    <col min="40" max="40" width="15" style="1645" customWidth="1"/>
    <col min="41" max="41" width="16" style="1645" customWidth="1"/>
    <col min="42" max="45" width="10" style="1645" customWidth="1"/>
    <col min="46" max="46" width="10.5714285714286" style="1638" hidden="1"/>
  </cols>
  <sheetData>
    <row r="1" spans="5:46" ht="22.5" customHeight="1" hidden="1">
      <c r="E1" s="415"/>
      <c s="415"/>
      <c s="415"/>
      <c s="2220" t="s">
        <v>352</v>
      </c>
      <c s="2220"/>
      <c s="2220"/>
      <c s="2220"/>
      <c s="2220"/>
      <c s="2220"/>
      <c s="2220"/>
      <c s="2220"/>
      <c s="2220"/>
      <c s="2220"/>
      <c s="2220"/>
      <c r="T1" s="2220" t="s">
        <v>353</v>
      </c>
      <c s="2220"/>
      <c s="2220"/>
      <c r="X1" s="2220" t="s">
        <v>354</v>
      </c>
      <c s="2220"/>
      <c s="2220"/>
      <c r="AB1" s="2220" t="s">
        <v>355</v>
      </c>
      <c s="2220"/>
      <c r="AT1" s="450" t="s">
        <v>14</v>
      </c>
    </row>
    <row r="2" spans="46:46" ht="14.25" customHeight="1" hidden="1">
      <c r="AT2" s="450">
        <v>0</v>
      </c>
    </row>
    <row r="3" spans="3:46" s="1616" customFormat="1" ht="5.25" customHeight="1">
      <c r="C3" s="704"/>
      <c s="705"/>
      <c s="705"/>
      <c s="705"/>
      <c s="705"/>
      <c s="705" t="s">
        <v>356</v>
      </c>
      <c s="705"/>
      <c s="705"/>
      <c s="705"/>
      <c s="705"/>
      <c s="705"/>
      <c s="705"/>
      <c s="705"/>
      <c s="705"/>
      <c s="705"/>
      <c s="705"/>
      <c s="705"/>
      <c s="705"/>
      <c s="705"/>
      <c s="705"/>
      <c s="705"/>
      <c s="705"/>
      <c s="705"/>
      <c s="705"/>
      <c s="705"/>
      <c s="705"/>
      <c s="705"/>
      <c s="705"/>
      <c s="705"/>
      <c s="705"/>
      <c s="705"/>
      <c s="705"/>
      <c r="AJ3" s="514"/>
      <c s="514"/>
      <c s="514"/>
      <c s="514"/>
      <c s="514"/>
      <c s="514"/>
      <c s="514"/>
      <c s="514"/>
      <c s="514"/>
      <c s="514"/>
      <c s="703">
        <v>5</v>
      </c>
    </row>
    <row r="4" spans="3:46" ht="39.75" customHeight="1">
      <c r="C4" s="453"/>
      <c s="2160" t="str">
        <f>ORG_VD_NAME_FORM</f>
        <v>Форма 1. Информация об организации, осуществляющей водоотведение (общая информация)</v>
      </c>
      <c s="2161"/>
      <c s="2161"/>
      <c s="2161"/>
      <c s="2161"/>
      <c s="2161"/>
      <c s="2161"/>
      <c s="2161"/>
      <c s="2161"/>
      <c s="2161"/>
      <c s="2161"/>
      <c s="2161"/>
      <c s="2161"/>
      <c s="2161"/>
      <c s="2162"/>
      <c s="856"/>
      <c s="702"/>
      <c s="702"/>
      <c s="702"/>
      <c s="702"/>
      <c s="702"/>
      <c s="702"/>
      <c s="702"/>
      <c s="702"/>
      <c s="702"/>
      <c s="702"/>
      <c s="702"/>
      <c s="494"/>
      <c s="494"/>
      <c s="494"/>
      <c s="494"/>
      <c s="491"/>
      <c r="AT4" s="450">
        <v>38</v>
      </c>
    </row>
    <row r="5" spans="1:46" s="1638" customFormat="1" ht="18" customHeight="1">
      <c r="A5" s="762"/>
      <c r="C5" s="825"/>
      <c s="2217" t="str">
        <f>IF(org=0,"Не определено",org)</f>
        <v>ГУП КК "Кубаньводкомплекс"</v>
      </c>
      <c s="2218"/>
      <c s="2218"/>
      <c s="2218"/>
      <c s="2218"/>
      <c s="2218"/>
      <c s="2218"/>
      <c s="2218"/>
      <c s="2218"/>
      <c s="2218"/>
      <c s="2218"/>
      <c s="2218"/>
      <c s="2218"/>
      <c s="2218"/>
      <c s="2219"/>
      <c s="856"/>
      <c s="702"/>
      <c s="702"/>
      <c s="702"/>
      <c s="702"/>
      <c s="702"/>
      <c s="702"/>
      <c s="702"/>
      <c s="702"/>
      <c s="702"/>
      <c s="702"/>
      <c s="702"/>
      <c s="494"/>
      <c s="494"/>
      <c s="494"/>
      <c s="494"/>
      <c s="491"/>
      <c s="514"/>
      <c s="514"/>
      <c s="514"/>
      <c s="514"/>
      <c s="514"/>
      <c s="514"/>
      <c s="514"/>
      <c s="514"/>
      <c s="514"/>
      <c s="514"/>
      <c s="761">
        <v>17</v>
      </c>
    </row>
    <row r="6" spans="1:46" s="1615" customFormat="1" ht="11.55" customHeight="1">
      <c r="A6" s="482"/>
      <c r="C6" s="489"/>
      <c s="488"/>
      <c s="488"/>
      <c s="488"/>
      <c s="488"/>
      <c s="488"/>
      <c s="488"/>
      <c s="488"/>
      <c s="488"/>
      <c s="488"/>
      <c s="488"/>
      <c s="488"/>
      <c s="488"/>
      <c s="488"/>
      <c s="488"/>
      <c s="755"/>
      <c s="755"/>
      <c s="488"/>
      <c s="488"/>
      <c s="715"/>
      <c s="715"/>
      <c s="488"/>
      <c s="488"/>
      <c s="715"/>
      <c s="715"/>
      <c s="488"/>
      <c s="715"/>
      <c s="715"/>
      <c s="488"/>
      <c s="488"/>
      <c s="488"/>
      <c s="488"/>
      <c r="AJ6" s="492"/>
      <c s="492"/>
      <c s="492"/>
      <c s="492"/>
      <c s="492"/>
      <c s="492"/>
      <c s="492"/>
      <c s="492"/>
      <c s="492"/>
      <c s="492"/>
      <c s="483">
        <v>11</v>
      </c>
    </row>
    <row r="7" spans="3:46" ht="14.7" customHeight="1">
      <c r="C7" s="453"/>
      <c s="2221" t="s">
        <v>300</v>
      </c>
      <c s="2222"/>
      <c s="2222"/>
      <c s="2222"/>
      <c s="2222"/>
      <c s="2222"/>
      <c s="2222"/>
      <c s="2222"/>
      <c s="2222"/>
      <c s="2222"/>
      <c s="2222"/>
      <c s="2222"/>
      <c s="2222"/>
      <c s="2222"/>
      <c s="2222"/>
      <c s="2222"/>
      <c s="2222"/>
      <c s="2222"/>
      <c s="2222"/>
      <c s="2222"/>
      <c s="2222"/>
      <c s="2222"/>
      <c s="2222"/>
      <c s="2222"/>
      <c s="2222"/>
      <c s="2222"/>
      <c s="2223"/>
      <c s="2226" t="s">
        <v>301</v>
      </c>
      <c s="2226" t="s">
        <v>301</v>
      </c>
      <c s="2226" t="s">
        <v>301</v>
      </c>
      <c s="2226" t="s">
        <v>301</v>
      </c>
      <c r="AT7" s="450">
        <v>14</v>
      </c>
    </row>
    <row r="8" spans="3:46" ht="27.3" customHeight="1">
      <c r="C8" s="453"/>
      <c s="2130" t="s">
        <v>87</v>
      </c>
      <c s="2226" t="str">
        <f>"Наименование "&amp;IF(TEMPLATE_SPHERE&lt;&gt;"HEAT","централизованной ","")&amp;"системы "&amp;TEMPLATE_SPHERE_RUS</f>
        <v>Наименование централизованной системы водоотведения</v>
      </c>
      <c s="2226" t="str">
        <f>IF(TEMPLATE_SPHERE&lt;&gt;"HEAT","Регулируемый вид деятельности","Вид регулируемой деятельности")</f>
        <v>Регулируемый вид деятельности</v>
      </c>
      <c s="831"/>
      <c s="2227" t="s">
        <v>357</v>
      </c>
      <c s="2229" t="s">
        <v>358</v>
      </c>
      <c s="2226" t="s">
        <v>359</v>
      </c>
      <c s="2226"/>
      <c s="2226"/>
      <c s="2221"/>
      <c s="2226" t="s">
        <v>360</v>
      </c>
      <c s="2226"/>
      <c s="2226" t="s">
        <v>361</v>
      </c>
      <c s="2226"/>
      <c s="2233" t="s">
        <v>362</v>
      </c>
      <c s="827"/>
      <c s="2231" t="s">
        <v>363</v>
      </c>
      <c s="2231" t="s">
        <v>364</v>
      </c>
      <c s="2231" t="s">
        <v>365</v>
      </c>
      <c s="829"/>
      <c s="2231" t="s">
        <v>366</v>
      </c>
      <c s="2231" t="s">
        <v>367</v>
      </c>
      <c s="2231" t="s">
        <v>368</v>
      </c>
      <c s="829"/>
      <c s="2231" t="s">
        <v>369</v>
      </c>
      <c s="2231" t="s">
        <v>362</v>
      </c>
      <c s="829"/>
      <c s="2226"/>
      <c s="2226"/>
      <c s="2226"/>
      <c s="2226"/>
      <c r="AT8" s="450">
        <v>26</v>
      </c>
    </row>
    <row r="9" spans="3:46" ht="46.2" customHeight="1">
      <c r="C9" s="453"/>
      <c s="2130"/>
      <c s="2226"/>
      <c s="2226"/>
      <c s="832"/>
      <c s="2228"/>
      <c s="2230"/>
      <c s="428" t="s">
        <v>370</v>
      </c>
      <c s="428" t="s">
        <v>371</v>
      </c>
      <c s="428" t="s">
        <v>372</v>
      </c>
      <c s="434" t="s">
        <v>373</v>
      </c>
      <c s="428" t="s">
        <v>374</v>
      </c>
      <c s="428" t="s">
        <v>373</v>
      </c>
      <c s="428" t="s">
        <v>375</v>
      </c>
      <c s="428" t="s">
        <v>373</v>
      </c>
      <c s="2234"/>
      <c s="828"/>
      <c s="2232"/>
      <c s="2232"/>
      <c s="2232"/>
      <c s="830"/>
      <c s="2232"/>
      <c s="2232"/>
      <c s="2232"/>
      <c s="830"/>
      <c s="2232"/>
      <c s="2232"/>
      <c s="830"/>
      <c s="2226"/>
      <c s="2226"/>
      <c s="2226"/>
      <c s="2226"/>
      <c r="AT9" s="450">
        <v>44</v>
      </c>
    </row>
    <row r="10" spans="3:46" ht="12" customHeight="1" hidden="1">
      <c r="C10" s="490"/>
      <c s="451"/>
      <c s="451"/>
      <c s="451"/>
      <c s="451"/>
      <c s="451"/>
      <c s="451"/>
      <c s="451"/>
      <c s="451"/>
      <c s="451"/>
      <c s="451"/>
      <c s="451"/>
      <c s="451"/>
      <c s="451"/>
      <c s="451"/>
      <c s="451"/>
      <c s="451"/>
      <c s="451"/>
      <c s="451"/>
      <c s="451"/>
      <c s="451"/>
      <c s="451"/>
      <c s="451"/>
      <c s="451"/>
      <c s="451"/>
      <c s="451"/>
      <c s="451"/>
      <c s="451"/>
      <c s="451"/>
      <c s="451"/>
      <c s="451"/>
      <c s="451"/>
      <c s="450"/>
      <c r="AP10" s="503"/>
      <c s="503"/>
      <c r="AT10" s="450">
        <v>0</v>
      </c>
    </row>
    <row r="11" spans="3:46" s="1644" customFormat="1" ht="11.25" customHeight="1" hidden="1">
      <c r="C11" s="501"/>
      <c s="502" t="s">
        <v>376</v>
      </c>
      <c s="502"/>
      <c s="502"/>
      <c s="502"/>
      <c s="500"/>
      <c s="500"/>
      <c s="500"/>
      <c s="500"/>
      <c s="500"/>
      <c s="500"/>
      <c s="500"/>
      <c s="500"/>
      <c s="500"/>
      <c s="500"/>
      <c s="500"/>
      <c s="500"/>
      <c s="500"/>
      <c s="500"/>
      <c s="500"/>
      <c s="500"/>
      <c s="500"/>
      <c s="500"/>
      <c s="500"/>
      <c s="500"/>
      <c s="500"/>
      <c s="500"/>
      <c s="500"/>
      <c s="438"/>
      <c s="438"/>
      <c s="438"/>
      <c s="438"/>
      <c r="AJ11" s="492"/>
      <c s="492"/>
      <c s="492"/>
      <c s="492"/>
      <c s="492"/>
      <c s="492"/>
      <c s="492"/>
      <c s="492"/>
      <c s="492"/>
      <c s="492"/>
      <c s="499">
        <v>0</v>
      </c>
    </row>
    <row r="12" spans="1:46" ht="14.7" customHeight="1">
      <c r="A12" s="450"/>
      <c r="C12" s="453"/>
      <c s="437" t="s">
        <v>109</v>
      </c>
      <c s="1780" t="s">
        <v>22</v>
      </c>
      <c s="858"/>
      <c s="859"/>
      <c s="1781"/>
      <c s="1781"/>
      <c s="436"/>
      <c s="1866"/>
      <c s="435"/>
      <c s="1866"/>
      <c s="436"/>
      <c s="1866"/>
      <c s="436"/>
      <c s="1866"/>
      <c s="436"/>
      <c s="857"/>
      <c s="1781"/>
      <c s="436"/>
      <c s="436"/>
      <c s="830"/>
      <c s="1781"/>
      <c s="436"/>
      <c s="436"/>
      <c s="830"/>
      <c s="1781"/>
      <c s="436"/>
      <c s="830"/>
      <c s="2224" t="s">
        <v>377</v>
      </c>
      <c s="2224" t="s">
        <v>378</v>
      </c>
      <c s="2224" t="s">
        <v>379</v>
      </c>
      <c s="2224" t="s">
        <v>380</v>
      </c>
      <c s="450"/>
      <c r="AM12" s="514"/>
      <c r="AP12" s="503" t="s">
        <v>381</v>
      </c>
      <c s="503" t="s">
        <v>381</v>
      </c>
      <c r="AT12" s="450">
        <v>14</v>
      </c>
    </row>
    <row r="13" spans="1:46" ht="18" customHeight="1">
      <c r="A13" s="450"/>
      <c r="C13" s="453"/>
      <c s="408"/>
      <c s="872" t="str">
        <f>IF(TITLE_DIFFERENTIATION_TYPE="нет","","Добавить систему")</f>
        <v/>
      </c>
      <c s="872" t="str">
        <f>IF(TITLE_DIFFERENTIATION_TYPE="нет","Добавить вид деятельности","")</f>
        <v>Добавить вид деятельности</v>
      </c>
      <c s="316"/>
      <c s="409"/>
      <c s="409"/>
      <c s="409"/>
      <c s="409"/>
      <c s="409"/>
      <c s="409"/>
      <c s="409"/>
      <c s="409"/>
      <c s="409"/>
      <c s="409"/>
      <c s="409"/>
      <c s="409"/>
      <c s="409"/>
      <c s="409"/>
      <c s="409"/>
      <c s="409"/>
      <c s="409"/>
      <c s="409"/>
      <c s="409"/>
      <c s="409"/>
      <c s="409"/>
      <c s="409"/>
      <c s="860"/>
      <c s="2225"/>
      <c s="2225"/>
      <c s="2225"/>
      <c s="2225"/>
      <c s="450"/>
      <c r="AT13" s="450">
        <v>17</v>
      </c>
    </row>
    <row r="14" spans="35:46" ht="14.7" customHeight="1">
      <c r="AI14" s="450"/>
      <c r="AT14" s="450">
        <v>14</v>
      </c>
    </row>
    <row r="15" spans="5:12 46:46" ht="14.7" customHeight="1">
      <c r="E15" s="761"/>
      <c r="L15" s="761"/>
      <c r="AT15" s="450">
        <v>14</v>
      </c>
    </row>
    <row r="16" spans="12:46" ht="14.7" customHeight="1">
      <c r="L16" s="761"/>
      <c r="AT16" s="450">
        <v>14</v>
      </c>
    </row>
    <row r="17" spans="12:46" ht="14.7" customHeight="1">
      <c r="L17" s="761"/>
      <c r="AT17" s="450">
        <v>14</v>
      </c>
    </row>
    <row r="18" spans="1:46" ht="22.5" customHeight="1" hidden="1">
      <c r="A18" s="452" t="s">
        <v>81</v>
      </c>
      <c s="450">
        <v>0</v>
      </c>
      <c s="454">
        <v>3</v>
      </c>
      <c s="450">
        <v>5</v>
      </c>
      <c s="450">
        <v>48</v>
      </c>
      <c s="450">
        <v>38</v>
      </c>
      <c s="761">
        <v>0</v>
      </c>
      <c s="450">
        <v>0</v>
      </c>
      <c s="450">
        <v>0</v>
      </c>
      <c s="450">
        <v>0</v>
      </c>
      <c s="450">
        <v>0</v>
      </c>
      <c s="450">
        <v>0</v>
      </c>
      <c s="450">
        <v>0</v>
      </c>
      <c s="450">
        <v>0</v>
      </c>
      <c s="450">
        <v>0</v>
      </c>
      <c s="450">
        <v>0</v>
      </c>
      <c s="450">
        <v>0</v>
      </c>
      <c s="450">
        <v>0</v>
      </c>
      <c s="761">
        <v>0</v>
      </c>
      <c s="508">
        <v>0</v>
      </c>
      <c s="508">
        <v>0</v>
      </c>
      <c s="508">
        <v>0</v>
      </c>
      <c s="761">
        <v>0</v>
      </c>
      <c s="508">
        <v>0</v>
      </c>
      <c s="508">
        <v>0</v>
      </c>
      <c s="508">
        <v>0</v>
      </c>
      <c s="761">
        <v>0</v>
      </c>
      <c s="508">
        <v>0</v>
      </c>
      <c s="508">
        <v>0</v>
      </c>
      <c s="761">
        <v>0</v>
      </c>
      <c s="450">
        <v>0</v>
      </c>
      <c s="508">
        <v>0</v>
      </c>
      <c s="508">
        <v>0</v>
      </c>
      <c s="508">
        <v>0</v>
      </c>
      <c s="455">
        <v>3</v>
      </c>
      <c s="492">
        <v>10</v>
      </c>
      <c s="492">
        <v>10</v>
      </c>
      <c s="492">
        <v>10</v>
      </c>
      <c s="492">
        <v>0</v>
      </c>
      <c s="492">
        <v>15</v>
      </c>
      <c s="492">
        <v>16</v>
      </c>
      <c s="492">
        <v>10</v>
      </c>
      <c s="492">
        <v>10</v>
      </c>
      <c s="492">
        <v>10</v>
      </c>
      <c s="492">
        <v>10</v>
      </c>
      <c s="450">
        <v>23</v>
      </c>
    </row>
  </sheetData>
  <sheetProtection formatColumns="0" formatRows="0" insertRows="0" deleteColumns="0" deleteRows="0" sort="0" autoFilter="0"/>
  <mergeCells count="32">
    <mergeCell ref="J8:M8"/>
    <mergeCell ref="N8:O8"/>
    <mergeCell ref="AB8:AB9"/>
    <mergeCell ref="AC8:AC9"/>
    <mergeCell ref="T8:T9"/>
    <mergeCell ref="U8:U9"/>
    <mergeCell ref="V8:V9"/>
    <mergeCell ref="P8:Q8"/>
    <mergeCell ref="R8:R9"/>
    <mergeCell ref="X8:X9"/>
    <mergeCell ref="Y8:Y9"/>
    <mergeCell ref="Z8:Z9"/>
    <mergeCell ref="D8:D9"/>
    <mergeCell ref="E8:E9"/>
    <mergeCell ref="F8:F9"/>
    <mergeCell ref="H8:H9"/>
    <mergeCell ref="I8:I9"/>
    <mergeCell ref="AE12:AE13"/>
    <mergeCell ref="AG7:AG9"/>
    <mergeCell ref="AG12:AG13"/>
    <mergeCell ref="AH7:AH9"/>
    <mergeCell ref="AH12:AH13"/>
    <mergeCell ref="AF12:AF13"/>
    <mergeCell ref="AF7:AF9"/>
    <mergeCell ref="AE7:AE9"/>
    <mergeCell ref="D5:R5"/>
    <mergeCell ref="H1:R1"/>
    <mergeCell ref="D7:AD7"/>
    <mergeCell ref="X1:Z1"/>
    <mergeCell ref="T1:V1"/>
    <mergeCell ref="AB1:AC1"/>
    <mergeCell ref="D4:R4"/>
  </mergeCells>
  <dataValidations count="6">
    <dataValidation type="list" allowBlank="1" showInputMessage="1" showErrorMessage="1" prompt="Выберите значение из списка" errorTitle="Ошибка" error="Выберите значение из списка" sqref="L12">
      <formula1>kind_of_power_te_unit</formula1>
    </dataValidation>
    <dataValidation type="whole" allowBlank="1" showErrorMessage="1" errorTitle="Ошибка" error="Допускается ввод только неотрицательных целых чисел!" sqref="J12 N12 P12 U12:V12 Y12:Z12 R12:S12 AC12">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12"/>
    <dataValidation type="textLength" operator="lessThanOrEqual" allowBlank="1" showInputMessage="1" showErrorMessage="1" errorTitle="Ошибка" error="Допускается ввод не более 900 символов!" sqref="E12">
      <formula1>900</formula1>
    </dataValidation>
    <dataValidation type="decimal" allowBlank="1" showErrorMessage="1" errorTitle="Ошибка" error="Допускается ввод только неотрицательных чисел!" sqref="H11:AD11 T12 H12:I12 AB12 X12 K12 M12 O12 Q12">
      <formula1>0</formula1>
      <formula2>9.99999999999999E+23</formula2>
    </dataValidation>
    <dataValidation allowBlank="1" showErrorMessage="1" errorTitle="Ошибка" error="Допускается ввод только неотрицательных чисел!" sqref="E11:G11"/>
  </dataValidations>
  <pageMargins left="0.7" right="0.7" top="0.75" bottom="0.75" header="0.3" footer="0.3"/>
  <pageSetup orientation="portrait" paperSize="9"/>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m="http://schemas.microsoft.com/office/excel/2006/main" xmlns:x14ac="http://schemas.microsoft.com/office/spreadsheetml/2009/9/ac" xmlns:xr="http://schemas.microsoft.com/office/spreadsheetml/2014/revision" xmlns:xr2="http://schemas.microsoft.com/office/spreadsheetml/2015/revision2" xmlns:xr3="http://schemas.microsoft.com/office/spreadsheetml/2016/revision3" xr:uid="{5AED4D62-5294-3918-850E-237AC436ED92}" mc:Ignorable="x14ac xr xr2 xr3">
  <sheetPr>
    <tabColor theme="3" tint="0.600000023841858"/>
  </sheetPr>
  <dimension ref="A1:V18"/>
  <sheetViews>
    <sheetView showGridLines="0" zoomScale="90" zoomScaleNormal="90" workbookViewId="0" topLeftCell="A1">
      <pane xSplit="4" ySplit="13" topLeftCell="E14" activePane="bottomRight" state="frozen"/>
      <selection pane="topLeft" activeCell="A1" sqref="A1"/>
      <selection pane="bottomLeft" activeCell="A14" sqref="A14"/>
      <selection pane="topRight" activeCell="E1" sqref="E1"/>
      <selection pane="bottomRight" activeCell="A1" sqref="A1"/>
    </sheetView>
  </sheetViews>
  <sheetFormatPr defaultColWidth="10.5742857142857" defaultRowHeight="14.25" customHeight="1"/>
  <cols>
    <col min="1" max="1" width="9.14285714285714" style="1635" hidden="1" customWidth="1"/>
    <col min="2" max="2" width="9.14285714285714" style="1638" hidden="1" customWidth="1"/>
    <col min="3" max="3" width="3" style="1845" customWidth="1"/>
    <col min="4" max="4" width="5" style="1638" customWidth="1"/>
    <col min="5" max="5" width="38" style="1638" customWidth="1"/>
    <col min="6" max="7" width="3" style="1638" customWidth="1"/>
    <col min="8" max="8" width="38" style="1638" customWidth="1"/>
    <col min="9" max="9" width="35" style="1638" customWidth="1"/>
    <col min="10" max="10" width="103" style="1638" customWidth="1"/>
    <col min="11" max="11" width="3" style="1822" customWidth="1"/>
    <col min="12" max="14" width="10" style="1645" customWidth="1"/>
    <col min="15" max="15" width="13" style="1645" customWidth="1"/>
    <col min="16" max="16" width="15" style="1645" customWidth="1"/>
    <col min="17" max="17" width="16" style="1645" customWidth="1"/>
    <col min="18" max="21" width="10" style="1645" customWidth="1"/>
    <col min="22" max="22" width="10.5714285714286" style="1638" hidden="1"/>
  </cols>
  <sheetData>
    <row r="1" spans="5:22" ht="22.5" customHeight="1" hidden="1">
      <c r="E1" s="415"/>
      <c s="415"/>
      <c s="415"/>
      <c s="2220" t="s">
        <v>352</v>
      </c>
      <c s="2220"/>
      <c r="V1" s="1610" t="s">
        <v>14</v>
      </c>
    </row>
    <row r="2" spans="3:22" s="1638" customFormat="1" ht="14.25" customHeight="1" hidden="1">
      <c r="C2" s="1622"/>
      <c s="2236" t="s">
        <v>109</v>
      </c>
      <c s="2238"/>
      <c s="1628"/>
      <c s="1623" t="s">
        <v>109</v>
      </c>
      <c s="1626"/>
      <c s="1624"/>
      <c r="L2" s="1625"/>
      <c s="1625"/>
      <c s="1625"/>
      <c s="1625" t="s">
        <v>382</v>
      </c>
      <c s="1625"/>
      <c s="1625"/>
      <c s="1627" t="s">
        <v>381</v>
      </c>
      <c s="1627" t="s">
        <v>381</v>
      </c>
      <c s="1625"/>
      <c s="1625"/>
      <c s="1621">
        <v>0</v>
      </c>
    </row>
    <row r="3" spans="3:22" s="1638" customFormat="1" ht="14.25" customHeight="1" hidden="1">
      <c r="C3" s="1622"/>
      <c s="2237"/>
      <c s="2239"/>
      <c s="408"/>
      <c s="872"/>
      <c s="872" t="s">
        <v>383</v>
      </c>
      <c s="316"/>
      <c r="L3" s="1625"/>
      <c s="1625"/>
      <c s="1625"/>
      <c s="1625"/>
      <c s="1625"/>
      <c s="1625"/>
      <c s="1627"/>
      <c s="1627"/>
      <c s="1625"/>
      <c s="1625"/>
      <c s="1621">
        <v>0</v>
      </c>
    </row>
    <row r="4" spans="22:22" ht="14.25" customHeight="1" hidden="1">
      <c r="V4" s="1610">
        <v>0</v>
      </c>
    </row>
    <row r="5" spans="3:22" s="1616" customFormat="1" ht="5.25" customHeight="1">
      <c r="C5" s="704"/>
      <c s="705"/>
      <c s="705"/>
      <c s="705"/>
      <c s="705"/>
      <c s="705" t="s">
        <v>356</v>
      </c>
      <c s="705"/>
      <c s="705"/>
      <c r="L5" s="1617"/>
      <c s="1617"/>
      <c s="1617"/>
      <c s="1617"/>
      <c s="1617"/>
      <c s="1617"/>
      <c s="1617"/>
      <c s="1617"/>
      <c s="1617"/>
      <c s="1617"/>
      <c s="1616">
        <v>5</v>
      </c>
    </row>
    <row r="6" spans="3:22" ht="29.25" customHeight="1">
      <c r="C6" s="1519"/>
      <c s="2240" t="s">
        <v>384</v>
      </c>
      <c s="2240"/>
      <c s="2240"/>
      <c s="2240"/>
      <c s="2240"/>
      <c s="2240"/>
      <c s="494"/>
      <c s="1618"/>
      <c r="V6" s="1610">
        <v>28</v>
      </c>
    </row>
    <row r="7" spans="3:22" ht="18" customHeight="1">
      <c r="C7" s="1519"/>
      <c s="2179" t="str">
        <f>IF(org=0,"Не определено",org)</f>
        <v>ГУП КК "Кубаньводкомплекс"</v>
      </c>
      <c s="2179"/>
      <c s="2179"/>
      <c s="2179"/>
      <c s="2179"/>
      <c s="2179"/>
      <c s="494"/>
      <c s="1618"/>
      <c r="V7" s="1610">
        <v>17</v>
      </c>
    </row>
    <row r="8" spans="1:22" s="1615" customFormat="1" ht="5.25" customHeight="1">
      <c r="A8" s="1614"/>
      <c r="C8" s="489"/>
      <c s="488"/>
      <c s="488"/>
      <c s="488"/>
      <c s="488"/>
      <c s="488"/>
      <c s="488"/>
      <c s="488"/>
      <c r="L8" s="1617"/>
      <c s="1617"/>
      <c s="1617"/>
      <c s="1617"/>
      <c s="1617"/>
      <c s="1617"/>
      <c s="1617"/>
      <c s="1617"/>
      <c s="1617"/>
      <c s="1617"/>
      <c s="1615">
        <v>5</v>
      </c>
    </row>
    <row r="9" spans="1:22" s="1615" customFormat="1" ht="5.25" customHeight="1">
      <c r="A9" s="1614"/>
      <c r="C9" s="489"/>
      <c s="488"/>
      <c s="488"/>
      <c s="488"/>
      <c s="488"/>
      <c s="488"/>
      <c s="488"/>
      <c s="488"/>
      <c r="L9" s="1625"/>
      <c s="1625"/>
      <c s="1625"/>
      <c s="1625"/>
      <c s="1625"/>
      <c s="1625"/>
      <c s="1625"/>
      <c s="1625"/>
      <c s="1625"/>
      <c s="1625"/>
      <c s="1615">
        <v>5</v>
      </c>
    </row>
    <row r="10" spans="3:22" ht="14.7" customHeight="1">
      <c r="C10" s="1519"/>
      <c s="2221" t="s">
        <v>300</v>
      </c>
      <c s="2222"/>
      <c s="2222"/>
      <c s="2222"/>
      <c s="2222"/>
      <c s="2222"/>
      <c s="2226" t="s">
        <v>301</v>
      </c>
      <c r="V10" s="1610">
        <v>14</v>
      </c>
    </row>
    <row r="11" spans="3:22" ht="27.3" customHeight="1">
      <c r="C11" s="1519"/>
      <c s="2130" t="s">
        <v>87</v>
      </c>
      <c s="2226" t="s">
        <v>105</v>
      </c>
      <c s="2195" t="s">
        <v>87</v>
      </c>
      <c s="2196"/>
      <c s="2178" t="s">
        <v>385</v>
      </c>
      <c s="2178" t="s">
        <v>386</v>
      </c>
      <c s="2226"/>
      <c r="V11" s="1610">
        <v>26</v>
      </c>
    </row>
    <row r="12" spans="3:22" ht="14.7" customHeight="1">
      <c r="C12" s="1519"/>
      <c s="2130"/>
      <c s="2226"/>
      <c s="2203"/>
      <c s="2204"/>
      <c s="2235"/>
      <c s="2235"/>
      <c s="2226"/>
      <c r="V12" s="1610">
        <v>14</v>
      </c>
    </row>
    <row r="13" spans="3:22" s="1644" customFormat="1" ht="11.25" customHeight="1" hidden="1">
      <c r="C13" s="501"/>
      <c s="502" t="s">
        <v>376</v>
      </c>
      <c s="502"/>
      <c s="502"/>
      <c s="502"/>
      <c s="500"/>
      <c s="500"/>
      <c s="438"/>
      <c r="L13" s="1617"/>
      <c s="1617"/>
      <c s="1617"/>
      <c s="1617"/>
      <c s="1617"/>
      <c s="1617"/>
      <c s="1617"/>
      <c s="1617"/>
      <c s="1617"/>
      <c s="1617"/>
      <c s="499">
        <v>0</v>
      </c>
    </row>
    <row r="14" spans="1:22" ht="14.7" customHeight="1">
      <c r="A14" s="1610"/>
      <c r="C14" s="1519"/>
      <c s="2236" t="s">
        <v>109</v>
      </c>
      <c s="2238"/>
      <c s="1620"/>
      <c s="1619" t="s">
        <v>109</v>
      </c>
      <c s="1626"/>
      <c s="1624"/>
      <c s="2172" t="s">
        <v>387</v>
      </c>
      <c s="1610"/>
      <c r="R14" s="503" t="s">
        <v>381</v>
      </c>
      <c s="503" t="s">
        <v>381</v>
      </c>
      <c r="V14" s="1610">
        <v>14</v>
      </c>
    </row>
    <row r="15" spans="1:22" ht="14.7" customHeight="1">
      <c r="A15" s="1610"/>
      <c r="C15" s="1519"/>
      <c s="2237"/>
      <c s="2239"/>
      <c s="408"/>
      <c s="872"/>
      <c s="872" t="s">
        <v>383</v>
      </c>
      <c s="316"/>
      <c s="2173"/>
      <c s="1610"/>
      <c r="R15" s="503"/>
      <c s="503"/>
      <c r="V15" s="1610">
        <v>14</v>
      </c>
    </row>
    <row r="16" spans="1:22" ht="14.7" customHeight="1">
      <c r="A16" s="1610"/>
      <c r="C16" s="1519"/>
      <c s="408"/>
      <c s="872" t="s">
        <v>123</v>
      </c>
      <c s="316"/>
      <c s="316"/>
      <c s="409"/>
      <c s="409"/>
      <c s="2174"/>
      <c s="1610"/>
      <c r="V16" s="1610">
        <v>14</v>
      </c>
    </row>
    <row r="17" spans="11:22" ht="14.7" customHeight="1">
      <c r="K17" s="1610"/>
      <c r="V17" s="1610">
        <v>14</v>
      </c>
    </row>
    <row r="18" spans="1:22" ht="22.5" customHeight="1" hidden="1">
      <c r="A18" s="1611" t="s">
        <v>81</v>
      </c>
      <c s="1610">
        <v>0</v>
      </c>
      <c s="454">
        <v>3</v>
      </c>
      <c s="1610">
        <v>5</v>
      </c>
      <c s="1610">
        <v>38</v>
      </c>
      <c s="1610">
        <v>3</v>
      </c>
      <c s="1610">
        <v>3</v>
      </c>
      <c s="1610">
        <v>38</v>
      </c>
      <c s="1610">
        <v>35</v>
      </c>
      <c s="1610">
        <v>103</v>
      </c>
      <c s="1612">
        <v>3</v>
      </c>
      <c s="1617">
        <v>10</v>
      </c>
      <c s="1617">
        <v>10</v>
      </c>
      <c s="1617">
        <v>10</v>
      </c>
      <c s="1617">
        <v>13</v>
      </c>
      <c s="1617">
        <v>15</v>
      </c>
      <c s="1617">
        <v>16</v>
      </c>
      <c s="1617">
        <v>10</v>
      </c>
      <c s="1617">
        <v>10</v>
      </c>
      <c s="1617">
        <v>10</v>
      </c>
      <c s="1617">
        <v>10</v>
      </c>
      <c s="1610">
        <v>23</v>
      </c>
    </row>
  </sheetData>
  <sheetProtection formatColumns="0" formatRows="0" insertRows="0" deleteColumns="0" deleteRows="0" sort="0" autoFilter="0"/>
  <mergeCells count="15">
    <mergeCell ref="H1:I1"/>
    <mergeCell ref="D6:I6"/>
    <mergeCell ref="D7:I7"/>
    <mergeCell ref="D2:D3"/>
    <mergeCell ref="E2:E3"/>
    <mergeCell ref="J14:J16"/>
    <mergeCell ref="D10:I10"/>
    <mergeCell ref="J10:J12"/>
    <mergeCell ref="D11:D12"/>
    <mergeCell ref="E11:E12"/>
    <mergeCell ref="F11:G12"/>
    <mergeCell ref="H11:H12"/>
    <mergeCell ref="I11:I12"/>
    <mergeCell ref="D14:D15"/>
    <mergeCell ref="E14:E15"/>
  </mergeCells>
  <dataValidations count="5">
    <dataValidation type="textLength" operator="lessThanOrEqual" allowBlank="1" showInputMessage="1" showErrorMessage="1" errorTitle="Ошибка" error="Допускается ввод не более 900 символов!" sqref="H2 H14">
      <formula1>900</formula1>
    </dataValidation>
    <dataValidation allowBlank="1" showErrorMessage="1" errorTitle="Ошибка" error="Допускается ввод только неотрицательных чисел!" sqref="E13:G13"/>
    <dataValidation type="decimal" allowBlank="1" showErrorMessage="1" errorTitle="Ошибка" error="Допускается ввод только неотрицательных чисел!" sqref="H13:I13">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E2 E14"/>
    <dataValidation type="whole" allowBlank="1" showErrorMessage="1" errorTitle="Ошибка" error="Допускается ввод только неотрицательных целых чисел!" sqref="I2 I14">
      <formula1>0</formula1>
      <formula2>9.99999999999999E+23</formula2>
    </dataValidation>
  </dataValidations>
  <pageMargins left="0.7" right="0.7" top="0.75" bottom="0.75" header="0.3" footer="0.3"/>
  <pageSetup orientation="portrait" paperSize="9"/>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m="http://schemas.microsoft.com/office/excel/2006/main" xmlns:x14ac="http://schemas.microsoft.com/office/spreadsheetml/2009/9/ac" xmlns:xr="http://schemas.microsoft.com/office/spreadsheetml/2014/revision" xmlns:xr2="http://schemas.microsoft.com/office/spreadsheetml/2015/revision2" xmlns:xr3="http://schemas.microsoft.com/office/spreadsheetml/2016/revision3" xr:uid="{CF569063-9991-A10F-14C1-622EFF6D2451}" mc:Ignorable="x14ac xr xr2 xr3">
  <sheetPr>
    <tabColor theme="3" tint="0.600000023841858"/>
  </sheetPr>
  <dimension ref="A1:W19"/>
  <sheetViews>
    <sheetView showGridLines="0" zoomScale="90" zoomScaleNormal="90" workbookViewId="0" topLeftCell="A1">
      <pane xSplit="6" ySplit="11" topLeftCell="G12" activePane="bottomRight" state="frozen"/>
      <selection pane="topLeft" activeCell="A1" sqref="A1"/>
      <selection pane="bottomLeft" activeCell="A12" sqref="A12"/>
      <selection pane="topRight" activeCell="G1" sqref="G1"/>
      <selection pane="bottomRight" activeCell="A1" sqref="A1"/>
    </sheetView>
  </sheetViews>
  <sheetFormatPr defaultColWidth="10.5742857142857" defaultRowHeight="14.25" customHeight="1"/>
  <cols>
    <col min="1" max="1" width="9.14285714285714" style="1635" hidden="1" customWidth="1"/>
    <col min="2" max="3" width="9.14285714285714" style="1638" hidden="1" customWidth="1"/>
    <col min="4" max="4" width="3" style="1845" customWidth="1"/>
    <col min="5" max="5" width="6" style="1638" customWidth="1"/>
    <col min="6" max="6" width="1.71428571428571" style="1638" hidden="1" customWidth="1"/>
    <col min="7" max="8" width="30" style="1638" customWidth="1"/>
    <col min="9" max="9" width="8" style="1638" customWidth="1"/>
    <col min="10" max="10" width="12.1428571428571" style="1638" customWidth="1"/>
    <col min="11" max="11" width="46" style="1638" customWidth="1"/>
    <col min="12" max="12" width="100" style="1638" customWidth="1"/>
    <col min="13" max="13" width="7" style="1822" customWidth="1"/>
    <col min="14" max="22" width="10" style="1638" customWidth="1"/>
    <col min="23" max="23" width="10.5714285714286" style="1638" hidden="1"/>
  </cols>
  <sheetData>
    <row r="1" spans="3:23" s="1645" customFormat="1" ht="5.25" customHeight="1" hidden="1">
      <c r="C1" s="514"/>
      <c s="497"/>
      <c r="F1" s="514"/>
      <c s="492" t="s">
        <v>82</v>
      </c>
      <c s="492" t="s">
        <v>83</v>
      </c>
      <c s="492" t="s">
        <v>84</v>
      </c>
      <c r="P1" s="492" t="s">
        <v>82</v>
      </c>
      <c s="492" t="s">
        <v>83</v>
      </c>
      <c s="492" t="s">
        <v>84</v>
      </c>
      <c r="W1" s="492" t="s">
        <v>14</v>
      </c>
    </row>
    <row r="2" spans="3:23" s="1645" customFormat="1" ht="5.25" customHeight="1" hidden="1">
      <c r="C2" s="514"/>
      <c s="497"/>
      <c r="F2" s="514"/>
      <c r="W2" s="492">
        <v>0</v>
      </c>
    </row>
    <row r="3" spans="1:23" s="1615" customFormat="1" ht="5.25" customHeight="1">
      <c r="A3" s="482"/>
      <c r="D3" s="489"/>
      <c s="484"/>
      <c s="484"/>
      <c s="484"/>
      <c s="484"/>
      <c s="485"/>
      <c s="486"/>
      <c s="486"/>
      <c s="486"/>
      <c r="W3" s="483">
        <v>5</v>
      </c>
    </row>
    <row r="4" spans="4:23" ht="23.25" customHeight="1">
      <c r="D4" s="453"/>
      <c s="2241" t="s">
        <v>388</v>
      </c>
      <c s="2241"/>
      <c s="2242"/>
      <c s="2242"/>
      <c s="2243"/>
      <c s="494"/>
      <c s="456"/>
      <c s="456"/>
      <c r="W4" s="450">
        <v>22</v>
      </c>
    </row>
    <row r="5" spans="1:23" s="1638" customFormat="1" ht="18" customHeight="1">
      <c r="A5" s="762"/>
      <c r="D5" s="825"/>
      <c s="2217" t="str">
        <f>IF(org=0,"Не определено",org)</f>
        <v>ГУП КК "Кубаньводкомплекс"</v>
      </c>
      <c s="2217"/>
      <c s="2218"/>
      <c s="2218"/>
      <c s="2219"/>
      <c s="494"/>
      <c s="456"/>
      <c s="456"/>
      <c s="510"/>
      <c r="W5" s="761">
        <v>17</v>
      </c>
    </row>
    <row r="6" spans="1:23" s="1615" customFormat="1" ht="11.55" customHeight="1">
      <c r="A6" s="482"/>
      <c r="D6" s="489"/>
      <c s="484"/>
      <c s="484"/>
      <c s="487"/>
      <c s="487"/>
      <c s="488"/>
      <c s="488"/>
      <c s="755"/>
      <c s="488"/>
      <c r="W6" s="483">
        <v>11</v>
      </c>
    </row>
    <row r="7" spans="4:23" ht="14.7" customHeight="1">
      <c r="D7" s="453"/>
      <c s="2211" t="s">
        <v>300</v>
      </c>
      <c s="2211"/>
      <c s="2212"/>
      <c s="2212"/>
      <c s="2212"/>
      <c s="2212"/>
      <c s="2212"/>
      <c s="2226" t="s">
        <v>301</v>
      </c>
      <c r="W7" s="450">
        <v>14</v>
      </c>
    </row>
    <row r="8" spans="4:23" ht="48.3" customHeight="1">
      <c r="D8" s="453"/>
      <c s="476" t="s">
        <v>87</v>
      </c>
      <c s="826"/>
      <c s="468" t="s">
        <v>85</v>
      </c>
      <c s="468" t="s">
        <v>86</v>
      </c>
      <c s="417" t="s">
        <v>84</v>
      </c>
      <c s="417" t="s">
        <v>389</v>
      </c>
      <c s="417" t="s">
        <v>390</v>
      </c>
      <c s="2226"/>
      <c r="W8" s="450">
        <v>46</v>
      </c>
    </row>
    <row r="9" spans="4:23" ht="12" customHeight="1" hidden="1">
      <c r="D9" s="490"/>
      <c s="496"/>
      <c s="833"/>
      <c s="496"/>
      <c s="496"/>
      <c s="496"/>
      <c s="496"/>
      <c s="496"/>
      <c s="496"/>
      <c s="450"/>
      <c r="W9" s="450">
        <v>0</v>
      </c>
    </row>
    <row r="10" spans="1:23" ht="14.25" customHeight="1" hidden="1">
      <c r="A10" s="508"/>
      <c s="508"/>
      <c r="D10" s="509"/>
      <c s="515">
        <v>0</v>
      </c>
      <c s="824"/>
      <c s="511"/>
      <c s="511"/>
      <c s="511"/>
      <c s="511"/>
      <c s="511"/>
      <c s="2224" t="s">
        <v>391</v>
      </c>
      <c s="510"/>
      <c s="508"/>
      <c s="508"/>
      <c s="508"/>
      <c s="508"/>
      <c s="508"/>
      <c s="508"/>
      <c s="508"/>
      <c s="508"/>
      <c s="508"/>
      <c s="450">
        <v>0</v>
      </c>
    </row>
    <row r="11" spans="1:23" ht="15" customHeight="1" hidden="1">
      <c r="A11" s="2102"/>
      <c s="507"/>
      <c s="507"/>
      <c s="868"/>
      <c s="516"/>
      <c s="516"/>
      <c s="516"/>
      <c s="516"/>
      <c s="517"/>
      <c s="518"/>
      <c s="716"/>
      <c s="2244"/>
      <c s="514"/>
      <c s="514"/>
      <c s="514"/>
      <c s="519"/>
      <c s="519"/>
      <c s="520"/>
      <c s="514"/>
      <c s="514"/>
      <c s="514"/>
      <c s="514"/>
      <c s="450">
        <v>0</v>
      </c>
    </row>
    <row r="12" spans="1:23" s="1615" customFormat="1" ht="15" customHeight="1">
      <c r="A12" s="2102"/>
      <c s="507"/>
      <c s="507"/>
      <c s="869"/>
      <c s="826">
        <v>1</v>
      </c>
      <c s="867">
        <v>23</v>
      </c>
      <c s="866"/>
      <c s="796"/>
      <c s="794"/>
      <c s="523" t="s">
        <v>65</v>
      </c>
      <c s="1167" t="s">
        <v>22</v>
      </c>
      <c s="2244"/>
      <c s="514"/>
      <c s="514"/>
      <c s="514"/>
      <c s="519" t="s">
        <v>392</v>
      </c>
      <c s="519" t="s">
        <v>393</v>
      </c>
      <c s="520" t="s">
        <v>394</v>
      </c>
      <c s="514" t="s">
        <v>395</v>
      </c>
      <c s="514"/>
      <c s="514"/>
      <c s="514"/>
      <c s="483">
        <v>14</v>
      </c>
    </row>
    <row r="13" spans="1:23" ht="15.75" customHeight="1">
      <c r="A13" s="2102"/>
      <c s="508"/>
      <c r="D13" s="509"/>
      <c s="408"/>
      <c s="532"/>
      <c s="419" t="s">
        <v>102</v>
      </c>
      <c s="407"/>
      <c s="407"/>
      <c s="407"/>
      <c s="406"/>
      <c s="2225"/>
      <c s="512"/>
      <c s="508"/>
      <c s="508"/>
      <c s="508"/>
      <c s="508"/>
      <c s="508"/>
      <c s="508"/>
      <c s="508"/>
      <c s="508"/>
      <c s="508"/>
      <c s="450">
        <v>15</v>
      </c>
    </row>
    <row r="14" spans="1:23" ht="11.55" customHeight="1">
      <c r="A14" s="482"/>
      <c s="483"/>
      <c s="483"/>
      <c s="498"/>
      <c s="483"/>
      <c s="483"/>
      <c s="483"/>
      <c s="483"/>
      <c s="483"/>
      <c s="483"/>
      <c s="483"/>
      <c s="483"/>
      <c s="483"/>
      <c s="483"/>
      <c s="483"/>
      <c s="483"/>
      <c s="483"/>
      <c s="483"/>
      <c s="483"/>
      <c s="483"/>
      <c s="483"/>
      <c s="483"/>
      <c s="450">
        <v>11</v>
      </c>
    </row>
    <row r="15" spans="4:23" ht="14.7" customHeight="1">
      <c r="D15" s="469"/>
      <c s="339"/>
      <c s="339"/>
      <c s="667" t="str">
        <f>"&lt;1&gt; Указывается информация по муниципальным районам и муниципальным образованиям, на территории которых регулируемая организация осуществляет "&amp;IF(TEMPLATE_SPHERE&lt;&gt;"TKO","регулируемый вид деятельности в сфере "&amp;TEMPLATE_SPHERE_RUS&amp;".","деятельность в области обращения с "&amp;TEMPLATE_SPHERE_RUS_2&amp;".")</f>
        <v>&lt;1&gt; Указывается информация по муниципальным районам и муниципальным образованиям, на территории которых регулируемая организация осуществляет регулируемый вид деятельности в сфере водоотведения.</v>
      </c>
      <c s="469"/>
      <c s="469"/>
      <c s="469"/>
      <c s="469"/>
      <c s="469"/>
      <c r="W15" s="450">
        <v>14</v>
      </c>
    </row>
    <row r="16" spans="23:23" ht="14.7" customHeight="1">
      <c r="W16" s="450">
        <v>14</v>
      </c>
    </row>
    <row r="17" spans="23:23" ht="14.7" customHeight="1">
      <c r="W17" s="450">
        <v>14</v>
      </c>
    </row>
    <row r="18" spans="7:23" ht="14.7" customHeight="1">
      <c r="G18" s="508"/>
      <c r="W18" s="450">
        <v>14</v>
      </c>
    </row>
    <row r="19" spans="1:23" ht="22.5" customHeight="1" hidden="1">
      <c r="A19" s="452" t="s">
        <v>81</v>
      </c>
      <c s="450">
        <v>0</v>
      </c>
      <c s="761">
        <v>0</v>
      </c>
      <c s="454">
        <v>3</v>
      </c>
      <c s="450">
        <v>6</v>
      </c>
      <c s="761">
        <v>0</v>
      </c>
      <c s="450">
        <v>30</v>
      </c>
      <c s="450">
        <v>30</v>
      </c>
      <c s="450">
        <v>8</v>
      </c>
      <c s="450">
        <v>12</v>
      </c>
      <c s="450">
        <v>46</v>
      </c>
      <c s="450">
        <v>100</v>
      </c>
      <c s="455">
        <v>7</v>
      </c>
      <c s="450">
        <v>10</v>
      </c>
      <c s="450">
        <v>10</v>
      </c>
      <c s="450">
        <v>10</v>
      </c>
      <c s="450">
        <v>10</v>
      </c>
      <c s="450">
        <v>10</v>
      </c>
      <c s="450">
        <v>10</v>
      </c>
      <c s="450">
        <v>10</v>
      </c>
      <c s="450">
        <v>10</v>
      </c>
      <c s="450">
        <v>10</v>
      </c>
      <c s="450">
        <v>23</v>
      </c>
    </row>
  </sheetData>
  <sheetProtection formatColumns="0" formatRows="0" insertRows="0" deleteColumns="0" deleteRows="0" sort="0" autoFilter="0"/>
  <mergeCells count="6">
    <mergeCell ref="A11:A13"/>
    <mergeCell ref="E4:I4"/>
    <mergeCell ref="E7:K7"/>
    <mergeCell ref="L7:L8"/>
    <mergeCell ref="L10:L13"/>
    <mergeCell ref="E5:I5"/>
  </mergeCells>
  <dataValidations count="3">
    <dataValidation type="textLength" operator="lessThanOrEqual" allowBlank="1" showInputMessage="1" showErrorMessage="1" prompt="Введите ссылку на обосновывающие материалы, загруженные с помощью &quot;ЕИАС Web&quot;." errorTitle="Ошибка" error="Допускается ввод не более 900 символов!" sqref="K12">
      <formula1>900</formula1>
    </dataValidation>
    <dataValidation allowBlank="1" showInputMessage="1" showErrorMessage="1" prompt="Изменение значения по двойному щелчоку левой кнопки мыши" sqref="J12"/>
    <dataValidation type="decimal" allowBlank="1" showErrorMessage="1" errorTitle="Ошибка" error="Допускается ввод только неотрицательных чисел!" sqref="G10:K10">
      <formula1>0</formula1>
      <formula2>9.99999999999999E+23</formula2>
    </dataValidation>
  </dataValidations>
  <pageMargins left="0.7" right="0.7" top="0.75" bottom="0.75" header="0.3" footer="0.3"/>
  <pageSetup orientation="portrait" paperSize="9"/>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m="http://schemas.microsoft.com/office/excel/2006/main" xmlns:x14ac="http://schemas.microsoft.com/office/spreadsheetml/2009/9/ac" xmlns:xr="http://schemas.microsoft.com/office/spreadsheetml/2014/revision" xmlns:xr2="http://schemas.microsoft.com/office/spreadsheetml/2015/revision2" xmlns:xr3="http://schemas.microsoft.com/office/spreadsheetml/2016/revision3" xr:uid="{8F07CA1A-9845-710C-2BED-2C9569D947CD}" mc:Ignorable="x14ac xr xr2 xr3">
  <sheetPr>
    <tabColor theme="6" tint="0.400000005960464"/>
  </sheetPr>
  <dimension ref="A1:AS65"/>
  <sheetViews>
    <sheetView showGridLines="0" zoomScale="90" zoomScaleNormal="90" workbookViewId="0" topLeftCell="A1">
      <pane xSplit="29" ySplit="42" topLeftCell="AD43" activePane="bottomRight" state="frozen"/>
      <selection pane="topLeft" activeCell="A1" sqref="A1"/>
      <selection pane="bottomLeft" activeCell="A43" sqref="A43"/>
      <selection pane="topRight" activeCell="AD1" sqref="AD1"/>
      <selection pane="bottomRight" activeCell="A1" sqref="A1"/>
    </sheetView>
  </sheetViews>
  <sheetFormatPr defaultColWidth="10.5742857142857" defaultRowHeight="14.25" customHeight="1"/>
  <cols>
    <col min="1" max="1" width="10.5714285714286" style="1369" hidden="1"/>
    <col min="2" max="2" width="11" style="1369" hidden="1" customWidth="1"/>
    <col min="3" max="3" width="10.5714285714286" style="1369" hidden="1"/>
    <col min="4" max="4" width="11.8571428571429" style="1369" hidden="1" customWidth="1"/>
    <col min="5" max="5" width="10" style="1369" hidden="1" customWidth="1"/>
    <col min="6" max="6" width="8.71428571428571" style="1369" hidden="1" customWidth="1"/>
    <col min="7" max="7" width="7.57142857142857" style="1369" hidden="1" customWidth="1"/>
    <col min="8" max="8" width="11.4285714285714" style="1369" hidden="1" customWidth="1"/>
    <col min="9" max="9" width="12" style="1369" hidden="1" customWidth="1"/>
    <col min="10" max="10" width="9.85714285714286" style="1369" hidden="1" customWidth="1"/>
    <col min="11" max="11" width="11.4285714285714" style="1369" hidden="1" customWidth="1"/>
    <col min="12" max="12" width="19.1428571428571" style="2610" hidden="1" customWidth="1"/>
    <col min="13" max="14" width="12.2857142857143" style="1779" hidden="1" customWidth="1"/>
    <col min="15" max="15" width="23.4285714285714" style="1779" hidden="1" customWidth="1"/>
    <col min="16" max="16" width="3" style="2400" customWidth="1"/>
    <col min="17" max="18" width="3" style="347" customWidth="1"/>
    <col min="19" max="19" width="12" style="2410" customWidth="1"/>
    <col min="20" max="20" width="35" style="1638" customWidth="1"/>
    <col min="21" max="21" width="0.142857142857143" style="1638" customWidth="1"/>
    <col min="22" max="22" width="24.7142857142857" style="1638" hidden="1" customWidth="1"/>
    <col min="23" max="23" width="0.142857142857143" style="1638" hidden="1" customWidth="1"/>
    <col min="24" max="25" width="24.7142857142857" style="1638" hidden="1" customWidth="1"/>
    <col min="26" max="26" width="11.7142857142857" style="1638" hidden="1" customWidth="1"/>
    <col min="27" max="27" width="3.71428571428571" style="1638" hidden="1" customWidth="1"/>
    <col min="28" max="28" width="11.7142857142857" style="1638" hidden="1" customWidth="1"/>
    <col min="29" max="29" width="8.57142857142857" style="1638" hidden="1" customWidth="1"/>
    <col min="30" max="30" width="24.7142857142857" style="1638" customWidth="1"/>
    <col min="31" max="31" width="0.142857142857143" style="1638" customWidth="1"/>
    <col min="32" max="33" width="24" style="1638" customWidth="1"/>
    <col min="34" max="34" width="11" style="1638" customWidth="1"/>
    <col min="35" max="35" width="3.71428571428571" style="1638" customWidth="1"/>
    <col min="36" max="36" width="11" style="1638" customWidth="1"/>
    <col min="37" max="37" width="8.57142857142857" style="1638" hidden="1" customWidth="1"/>
    <col min="38" max="38" width="4" style="1638" customWidth="1"/>
    <col min="39" max="39" width="115" style="1638" customWidth="1"/>
    <col min="40" max="44" width="10" style="1645" customWidth="1"/>
    <col min="45" max="45" width="10.5714285714286" style="1638" hidden="1"/>
  </cols>
  <sheetData>
    <row r="1" spans="25:45" ht="22.5" customHeight="1" hidden="1">
      <c r="Y1" s="330"/>
      <c s="330"/>
      <c r="AG1" s="330"/>
      <c s="330"/>
      <c r="AS1" s="1158" t="s">
        <v>14</v>
      </c>
    </row>
    <row r="2" spans="1:45" ht="21" customHeight="1" hidden="1">
      <c r="A2" s="1366"/>
      <c s="1366"/>
      <c s="1366"/>
      <c s="1366"/>
      <c s="2261">
        <v>1</v>
      </c>
      <c s="1366"/>
      <c s="1366"/>
      <c s="1366"/>
      <c s="1366"/>
      <c s="1366"/>
      <c s="1366"/>
      <c s="1367"/>
      <c s="1368"/>
      <c s="1368"/>
      <c s="1368"/>
      <c s="364"/>
      <c s="363"/>
      <c s="358"/>
      <c s="1312">
        <f>INDEX(PT_DIFFERENTIATION_NUM_NTAR,MATCH(A2,PT_DIFFERENTIATION_NTAR_ID,0))</f>
      </c>
      <c s="301" t="s">
        <v>125</v>
      </c>
      <c s="303"/>
      <c s="2245"/>
      <c s="2246"/>
      <c s="2246"/>
      <c s="2246"/>
      <c s="2246"/>
      <c s="2246"/>
      <c s="2246"/>
      <c s="2247"/>
      <c s="2245">
        <f>INDEX(PT_DIFFERENTIATION_NTAR,MATCH(A2,PT_DIFFERENTIATION_NTAR_ID,0))</f>
      </c>
      <c s="2246"/>
      <c s="2246"/>
      <c s="2246"/>
      <c s="2246"/>
      <c s="2246"/>
      <c s="2246"/>
      <c s="2246"/>
      <c s="2247"/>
      <c s="1261" t="s">
        <v>396</v>
      </c>
      <c r="AO2" s="503"/>
      <c s="503" t="str">
        <f>IF(T2="","",T2)</f>
        <v>Наименование тарифа</v>
      </c>
      <c s="503"/>
      <c s="503"/>
      <c s="1158">
        <v>0</v>
      </c>
    </row>
    <row r="3" spans="1:45" ht="21" customHeight="1" hidden="1">
      <c r="A3" s="1366"/>
      <c s="1366"/>
      <c s="1366"/>
      <c s="1366"/>
      <c s="2262"/>
      <c s="2261">
        <v>1</v>
      </c>
      <c s="1366"/>
      <c s="1366"/>
      <c s="1366"/>
      <c s="1366"/>
      <c s="1366"/>
      <c s="1367"/>
      <c s="1368"/>
      <c s="1368"/>
      <c s="1368"/>
      <c s="1307"/>
      <c s="355"/>
      <c s="356"/>
      <c s="1312">
        <f>INDEX(PT_DIFFERENTIATION_NUM_TER,MATCH(B3,PT_DIFFERENTIATION_TER_ID,0))</f>
      </c>
      <c s="311" t="s">
        <v>397</v>
      </c>
      <c s="303"/>
      <c s="2245"/>
      <c s="2246"/>
      <c s="2246"/>
      <c s="2246"/>
      <c s="2246"/>
      <c s="2246"/>
      <c s="2246"/>
      <c s="2247"/>
      <c s="2245">
        <f>INDEX(PT_DIFFERENTIATION_TER,MATCH(B3,PT_DIFFERENTIATION_TER_ID,0))</f>
      </c>
      <c s="2246"/>
      <c s="2246"/>
      <c s="2246"/>
      <c s="2246"/>
      <c s="2246"/>
      <c s="2246"/>
      <c s="2246"/>
      <c s="2247"/>
      <c s="1261" t="s">
        <v>398</v>
      </c>
      <c r="AO3" s="503"/>
      <c s="503" t="str">
        <f>IF(T3="","",T3)</f>
        <v>Территория действия тарифа</v>
      </c>
      <c s="503"/>
      <c s="503"/>
      <c s="1158">
        <v>0</v>
      </c>
    </row>
    <row r="4" spans="1:45" ht="23.25" customHeight="1" hidden="1">
      <c r="A4" s="1366"/>
      <c s="1366"/>
      <c s="1366"/>
      <c s="1366"/>
      <c s="2262"/>
      <c s="2262"/>
      <c s="2261">
        <v>1</v>
      </c>
      <c s="1366"/>
      <c s="1366"/>
      <c s="1366"/>
      <c s="1366"/>
      <c s="1367"/>
      <c s="1368"/>
      <c s="1368"/>
      <c s="1368"/>
      <c s="357"/>
      <c s="355"/>
      <c s="356"/>
      <c s="1312">
        <f>INDEX(PT_DIFFERENTIATION_NUM_CS,MATCH(C4,PT_DIFFERENTIATION_CS_ID,0))</f>
      </c>
      <c s="312" t="s">
        <v>399</v>
      </c>
      <c s="303"/>
      <c s="2245"/>
      <c s="2246"/>
      <c s="2246"/>
      <c s="2246"/>
      <c s="2246"/>
      <c s="2246"/>
      <c s="2246"/>
      <c s="2247"/>
      <c s="2245">
        <f>INDEX(PT_DIFFERENTIATION_CS,MATCH(C4,PT_DIFFERENTIATION_CS_ID,0))</f>
      </c>
      <c s="2246"/>
      <c s="2246"/>
      <c s="2246"/>
      <c s="2246"/>
      <c s="2246"/>
      <c s="2246"/>
      <c s="2246"/>
      <c s="2247"/>
      <c s="1261" t="s">
        <v>400</v>
      </c>
      <c r="AO4" s="503"/>
      <c s="503" t="str">
        <f>IF(T4="","",T4)</f>
        <v>Наименование системы теплоснабжения</v>
      </c>
      <c s="503"/>
      <c s="503"/>
      <c s="1158">
        <v>0</v>
      </c>
    </row>
    <row r="5" spans="1:45" ht="21" customHeight="1" hidden="1">
      <c r="A5" s="1366"/>
      <c s="1366"/>
      <c s="1366"/>
      <c s="1366"/>
      <c s="2262"/>
      <c s="2262"/>
      <c s="2262"/>
      <c s="2261">
        <v>1</v>
      </c>
      <c s="1366"/>
      <c s="1366"/>
      <c s="1366"/>
      <c s="1367"/>
      <c s="1368"/>
      <c s="1368"/>
      <c s="1368"/>
      <c s="357"/>
      <c s="355"/>
      <c s="356"/>
      <c s="1312">
        <f>INDEX(PT_DIFFERENTIATION_NUM_IST_TE,MATCH(D5,PT_DIFFERENTIATION_IST_TE_ID,0))</f>
      </c>
      <c s="313" t="s">
        <v>401</v>
      </c>
      <c s="303"/>
      <c s="2245"/>
      <c s="2246"/>
      <c s="2246"/>
      <c s="2246"/>
      <c s="2246"/>
      <c s="2246"/>
      <c s="2246"/>
      <c s="2247"/>
      <c s="2245">
        <f>INDEX(PT_DIFFERENTIATION_IST_TE,MATCH(D5,PT_DIFFERENTIATION_IST_TE_ID,0))</f>
      </c>
      <c s="2246"/>
      <c s="2246"/>
      <c s="2246"/>
      <c s="2246"/>
      <c s="2246"/>
      <c s="2246"/>
      <c s="2246"/>
      <c s="2247"/>
      <c s="1261" t="s">
        <v>402</v>
      </c>
      <c r="AO5" s="503"/>
      <c s="503" t="str">
        <f>IF(T5="","",T5)</f>
        <v>Источник тепловой энергии</v>
      </c>
      <c s="503"/>
      <c s="503"/>
      <c s="1158">
        <v>0</v>
      </c>
    </row>
    <row r="6" spans="1:45" ht="47.25" customHeight="1" hidden="1">
      <c r="A6" s="1366"/>
      <c s="1366"/>
      <c s="1366"/>
      <c s="1366"/>
      <c s="2262"/>
      <c s="2262"/>
      <c s="2262"/>
      <c s="2262"/>
      <c s="2259">
        <f>S5&amp;".1"</f>
      </c>
      <c s="1366"/>
      <c s="1366"/>
      <c s="1367" t="s">
        <v>403</v>
      </c>
      <c s="540"/>
      <c r="P6" s="2260">
        <v>1</v>
      </c>
      <c s="1308"/>
      <c s="359"/>
      <c s="1312">
        <f>$I6</f>
      </c>
      <c s="288" t="s">
        <v>404</v>
      </c>
      <c s="303"/>
      <c s="2248"/>
      <c s="2249"/>
      <c s="2249"/>
      <c s="2249"/>
      <c s="2249"/>
      <c s="2249"/>
      <c s="2249"/>
      <c s="2250"/>
      <c s="2248"/>
      <c s="2249"/>
      <c s="2249"/>
      <c s="2249"/>
      <c s="2249"/>
      <c s="2249"/>
      <c s="2249"/>
      <c s="2249"/>
      <c s="2250"/>
      <c s="1261" t="s">
        <v>405</v>
      </c>
      <c r="AO6" s="503"/>
      <c s="503" t="str">
        <f>IF(T6="","",T6)</f>
        <v>Схема подключения теплопотребляющей установки к коллектору источника тепловой энергии</v>
      </c>
      <c s="503"/>
      <c s="503"/>
      <c s="1158">
        <v>0</v>
      </c>
    </row>
    <row r="7" spans="1:45" ht="21" customHeight="1" hidden="1">
      <c r="A7" s="1366"/>
      <c s="1366"/>
      <c s="1366"/>
      <c s="1366"/>
      <c s="2262"/>
      <c s="2262"/>
      <c s="2262"/>
      <c s="2262"/>
      <c s="2289"/>
      <c s="2259">
        <f>I6&amp;".1"</f>
      </c>
      <c s="1366"/>
      <c s="1367" t="s">
        <v>406</v>
      </c>
      <c s="540"/>
      <c s="1369"/>
      <c r="P7" s="2260"/>
      <c s="2260">
        <v>1</v>
      </c>
      <c s="360"/>
      <c s="1312">
        <f>$J7</f>
      </c>
      <c s="289" t="s">
        <v>407</v>
      </c>
      <c s="303"/>
      <c s="2248"/>
      <c s="2249"/>
      <c s="2249"/>
      <c s="2249"/>
      <c s="2249"/>
      <c s="2249"/>
      <c s="2249"/>
      <c s="2250"/>
      <c s="2248"/>
      <c s="2249"/>
      <c s="2249"/>
      <c s="2249"/>
      <c s="2249"/>
      <c s="2249"/>
      <c s="2249"/>
      <c s="2249"/>
      <c s="2250"/>
      <c s="1261" t="s">
        <v>408</v>
      </c>
      <c r="AO7" s="503"/>
      <c s="503" t="str">
        <f>IF(T7="","",T7)</f>
        <v>Группа потребителей</v>
      </c>
      <c s="503"/>
      <c s="503"/>
      <c s="1158">
        <v>0</v>
      </c>
    </row>
    <row r="8" spans="1:45" ht="21" customHeight="1" hidden="1">
      <c r="A8" s="1366"/>
      <c s="1366"/>
      <c s="1366"/>
      <c s="1366"/>
      <c s="2262"/>
      <c s="2262"/>
      <c s="2262"/>
      <c s="2262"/>
      <c s="2289"/>
      <c s="2289"/>
      <c s="2259">
        <f>J7&amp;".1"</f>
      </c>
      <c s="1367" t="s">
        <v>409</v>
      </c>
      <c s="540"/>
      <c s="1369"/>
      <c s="1369"/>
      <c s="2260"/>
      <c s="2260"/>
      <c s="360">
        <v>1</v>
      </c>
      <c s="1312">
        <f>$K8</f>
      </c>
      <c s="1350"/>
      <c s="303"/>
      <c s="754"/>
      <c s="328"/>
      <c s="754"/>
      <c s="1260"/>
      <c s="2268"/>
      <c s="2110" t="s">
        <v>65</v>
      </c>
      <c s="2268"/>
      <c s="2110" t="s">
        <v>65</v>
      </c>
      <c s="754"/>
      <c s="328"/>
      <c s="754"/>
      <c s="1260"/>
      <c s="2268"/>
      <c s="2110" t="s">
        <v>65</v>
      </c>
      <c s="2268"/>
      <c s="2110" t="s">
        <v>65</v>
      </c>
      <c s="328"/>
      <c s="2256" t="s">
        <v>410</v>
      </c>
      <c s="514">
        <f>STRCHECKDATE(V9:AL9)</f>
      </c>
      <c s="503"/>
      <c s="503" t="str">
        <f>IF(T8="","",T8)</f>
        <v/>
      </c>
      <c s="503"/>
      <c s="503"/>
      <c s="1158">
        <v>0</v>
      </c>
    </row>
    <row r="9" spans="1:45" ht="0.75" customHeight="1" hidden="1">
      <c r="A9" s="1366"/>
      <c s="1366"/>
      <c s="1366"/>
      <c s="1366"/>
      <c s="2262"/>
      <c s="2262"/>
      <c s="2262"/>
      <c s="2262"/>
      <c s="2289"/>
      <c s="2289"/>
      <c s="2259"/>
      <c s="1367"/>
      <c s="540"/>
      <c s="1369"/>
      <c s="1369"/>
      <c s="2260"/>
      <c s="2260"/>
      <c s="360"/>
      <c s="1309"/>
      <c s="303"/>
      <c s="303"/>
      <c s="328"/>
      <c s="328"/>
      <c s="328"/>
      <c s="331" t="str">
        <f>Z8&amp;"-"&amp;AB8</f>
        <v>-</v>
      </c>
      <c s="2269"/>
      <c s="2110"/>
      <c s="2269"/>
      <c s="2110"/>
      <c s="328"/>
      <c s="328"/>
      <c s="328"/>
      <c s="331" t="str">
        <f>AH8&amp;"-"&amp;AJ8</f>
        <v>-</v>
      </c>
      <c s="2269"/>
      <c s="2110"/>
      <c s="2269"/>
      <c s="2110"/>
      <c s="328"/>
      <c s="2257"/>
      <c r="AO9" s="503"/>
      <c s="503" t="str">
        <f>IF(T9="","",T9)</f>
        <v/>
      </c>
      <c s="503"/>
      <c s="503"/>
      <c s="1158">
        <v>0</v>
      </c>
    </row>
    <row r="10" spans="1:45" ht="15" customHeight="1" hidden="1">
      <c r="A10" s="1366"/>
      <c s="1366"/>
      <c s="1366"/>
      <c s="1366"/>
      <c s="2262"/>
      <c s="2262"/>
      <c s="2262"/>
      <c s="2262"/>
      <c s="2289"/>
      <c s="2259"/>
      <c s="1366"/>
      <c s="1367"/>
      <c s="540"/>
      <c s="1369"/>
      <c r="P10" s="2260"/>
      <c s="2260"/>
      <c s="359"/>
      <c s="1281"/>
      <c s="291" t="s">
        <v>411</v>
      </c>
      <c s="370"/>
      <c s="370"/>
      <c s="370"/>
      <c s="370"/>
      <c s="370"/>
      <c s="370"/>
      <c s="370"/>
      <c s="370"/>
      <c s="370"/>
      <c s="370"/>
      <c s="370"/>
      <c s="370"/>
      <c s="370"/>
      <c s="370"/>
      <c s="370"/>
      <c s="370"/>
      <c s="370"/>
      <c s="327"/>
      <c s="2258"/>
      <c r="AO10" s="503"/>
      <c s="503" t="str">
        <f>IF(T10="","",T10)</f>
        <v>Добавить вид теплоносителя (параметры теплоносителя)</v>
      </c>
      <c s="503"/>
      <c s="503"/>
      <c s="1158">
        <v>0</v>
      </c>
    </row>
    <row r="11" spans="1:45" ht="15" customHeight="1" hidden="1">
      <c r="A11" s="1366"/>
      <c s="1366"/>
      <c s="1366"/>
      <c s="1366"/>
      <c s="2262"/>
      <c s="2262"/>
      <c s="2262"/>
      <c s="2262"/>
      <c s="2259"/>
      <c s="1366"/>
      <c s="1366"/>
      <c s="1367"/>
      <c s="540"/>
      <c r="P11" s="2260"/>
      <c s="1308"/>
      <c s="359"/>
      <c s="1281"/>
      <c s="290" t="s">
        <v>412</v>
      </c>
      <c s="370"/>
      <c s="370"/>
      <c s="370"/>
      <c s="370"/>
      <c s="370"/>
      <c s="370"/>
      <c s="370"/>
      <c s="370"/>
      <c s="369"/>
      <c s="370"/>
      <c s="370"/>
      <c s="370"/>
      <c s="370"/>
      <c s="370"/>
      <c s="370"/>
      <c s="370"/>
      <c s="369"/>
      <c s="370"/>
      <c s="306"/>
      <c r="AO11" s="503"/>
      <c s="503" t="str">
        <f>IF(T11="","",T11)</f>
        <v>Добавить группу потребителей</v>
      </c>
      <c s="503"/>
      <c s="503"/>
      <c s="1158">
        <v>0</v>
      </c>
    </row>
    <row r="12" spans="1:45" ht="14.25" customHeight="1" hidden="1">
      <c r="A12" s="1366"/>
      <c s="1366"/>
      <c s="1366"/>
      <c s="1366"/>
      <c s="2262"/>
      <c s="2262"/>
      <c s="2262"/>
      <c s="2261"/>
      <c s="1366"/>
      <c s="1366"/>
      <c s="1366"/>
      <c s="1367"/>
      <c s="1368"/>
      <c s="1368"/>
      <c s="540"/>
      <c s="363"/>
      <c s="378"/>
      <c s="358"/>
      <c s="1281"/>
      <c s="368" t="s">
        <v>413</v>
      </c>
      <c s="370"/>
      <c s="370"/>
      <c s="370"/>
      <c s="370"/>
      <c s="370"/>
      <c s="370"/>
      <c s="370"/>
      <c s="370"/>
      <c s="369"/>
      <c s="370"/>
      <c s="370"/>
      <c s="370"/>
      <c s="370"/>
      <c s="370"/>
      <c s="370"/>
      <c s="370"/>
      <c s="369"/>
      <c s="370"/>
      <c s="306"/>
      <c r="AO12" s="503"/>
      <c s="503" t="str">
        <f>IF(T12="","",T12)</f>
        <v>Добавить схему подключения</v>
      </c>
      <c s="503"/>
      <c s="503"/>
      <c s="1158">
        <v>0</v>
      </c>
    </row>
    <row r="13" spans="1:45" s="1645" customFormat="1" ht="0.75" customHeight="1" hidden="1">
      <c r="A13" s="1317"/>
      <c s="1317"/>
      <c s="1317"/>
      <c s="1317"/>
      <c s="2262"/>
      <c s="2262"/>
      <c s="2261"/>
      <c s="1317"/>
      <c s="1317"/>
      <c s="1317"/>
      <c s="1317"/>
      <c s="1342"/>
      <c s="1318"/>
      <c s="1318"/>
      <c r="P13" s="1319"/>
      <c s="1320"/>
      <c s="1319"/>
      <c s="1321"/>
      <c s="1322" t="s">
        <v>414</v>
      </c>
      <c s="1323"/>
      <c s="1323"/>
      <c s="1323"/>
      <c s="1323"/>
      <c s="1323"/>
      <c s="1323"/>
      <c s="1323"/>
      <c s="1323"/>
      <c s="1323"/>
      <c s="1323"/>
      <c s="1323"/>
      <c s="1323"/>
      <c s="1323"/>
      <c s="1323"/>
      <c s="1323"/>
      <c s="1323"/>
      <c s="1323"/>
      <c s="1323"/>
      <c s="1323"/>
      <c r="AO13" s="792"/>
      <c s="792" t="str">
        <f>IF(T13="","",T13)</f>
        <v>Добавить источник для дифференциации</v>
      </c>
      <c s="792"/>
      <c s="792"/>
      <c s="521">
        <v>0</v>
      </c>
    </row>
    <row r="14" spans="1:45" s="1645" customFormat="1" ht="0.75" customHeight="1" hidden="1">
      <c r="A14" s="1317"/>
      <c s="1317"/>
      <c s="1317"/>
      <c s="1317"/>
      <c s="2262"/>
      <c s="2261"/>
      <c s="1317"/>
      <c s="1317"/>
      <c s="1317"/>
      <c s="1317"/>
      <c s="1317"/>
      <c s="1342"/>
      <c s="1324"/>
      <c s="1324"/>
      <c r="P14" s="1319"/>
      <c s="1320"/>
      <c s="1319"/>
      <c s="1325"/>
      <c s="1326" t="s">
        <v>415</v>
      </c>
      <c s="1327"/>
      <c s="1327"/>
      <c s="1327"/>
      <c s="1327"/>
      <c s="1327"/>
      <c s="1327"/>
      <c s="1327"/>
      <c s="1327"/>
      <c s="1327"/>
      <c s="1327"/>
      <c s="1327"/>
      <c s="1327"/>
      <c s="1327"/>
      <c s="1327"/>
      <c s="1327"/>
      <c s="1327"/>
      <c s="1327"/>
      <c s="1327"/>
      <c s="1327"/>
      <c r="AO14" s="792"/>
      <c s="792" t="str">
        <f>IF(T14="","",T14)</f>
        <v>Добавить централизованную систему для дифференциации</v>
      </c>
      <c s="792"/>
      <c s="792"/>
      <c s="521">
        <v>0</v>
      </c>
    </row>
    <row r="15" spans="1:45" s="1645" customFormat="1" ht="0.75" customHeight="1" hidden="1">
      <c r="A15" s="1317"/>
      <c s="1317"/>
      <c s="1317"/>
      <c s="1317"/>
      <c s="2261"/>
      <c s="1317"/>
      <c s="1317"/>
      <c s="1317"/>
      <c s="1317"/>
      <c s="1317"/>
      <c s="1317"/>
      <c s="1342"/>
      <c s="1324"/>
      <c s="1324"/>
      <c r="P15" s="1319"/>
      <c s="1320"/>
      <c s="1319"/>
      <c s="1325"/>
      <c s="1328" t="s">
        <v>416</v>
      </c>
      <c s="1327"/>
      <c s="1327"/>
      <c s="1327"/>
      <c s="1327"/>
      <c s="1327"/>
      <c s="1327"/>
      <c s="1327"/>
      <c s="1327"/>
      <c s="1327"/>
      <c s="1327"/>
      <c s="1327"/>
      <c s="1327"/>
      <c s="1327"/>
      <c s="1327"/>
      <c s="1327"/>
      <c s="1327"/>
      <c s="1327"/>
      <c s="1327"/>
      <c s="1327"/>
      <c r="AO15" s="792"/>
      <c s="792" t="str">
        <f>IF(T15="","",T15)</f>
        <v>Добавить территорию для дифференциации</v>
      </c>
      <c s="792"/>
      <c s="792"/>
      <c s="521">
        <v>0</v>
      </c>
    </row>
    <row r="16" spans="29:45" ht="14.25" customHeight="1" hidden="1">
      <c r="AC16" s="330"/>
      <c r="AK16" s="330"/>
      <c r="AS16" s="1158">
        <v>0</v>
      </c>
    </row>
    <row r="17" spans="16:45" ht="14.25" customHeight="1" hidden="1">
      <c r="P17" s="1314"/>
      <c r="AD17" s="1363"/>
      <c s="1363"/>
      <c s="1363"/>
      <c s="1364"/>
      <c s="2270"/>
      <c s="2271" t="s">
        <v>65</v>
      </c>
      <c s="2270"/>
      <c s="2271" t="s">
        <v>65</v>
      </c>
      <c r="AS17" s="1158">
        <v>0</v>
      </c>
    </row>
    <row r="18" spans="16:45" ht="14.25" customHeight="1" hidden="1">
      <c r="P18" s="1314"/>
      <c r="AD18" s="1363"/>
      <c s="1363"/>
      <c s="1363"/>
      <c s="331" t="str">
        <f>AH17&amp;"-"&amp;AJ17</f>
        <v>-</v>
      </c>
      <c s="2271"/>
      <c s="2271"/>
      <c s="2271"/>
      <c s="2271"/>
      <c r="AS18" s="1158">
        <v>0</v>
      </c>
    </row>
    <row r="19" spans="16:45" ht="14.25" customHeight="1" hidden="1">
      <c r="P19" s="1314"/>
      <c r="AK19" s="330"/>
      <c r="AS19" s="1158">
        <v>0</v>
      </c>
    </row>
    <row r="20" spans="12:45" s="1369" customFormat="1" ht="22.5" customHeight="1" hidden="1">
      <c r="L20" s="1332"/>
      <c s="1365"/>
      <c s="1365"/>
      <c s="1370" t="s">
        <v>417</v>
      </c>
      <c s="1365"/>
      <c s="1374"/>
      <c s="1374"/>
      <c s="732"/>
      <c r="Z20" s="1370"/>
      <c r="AB20" s="1370"/>
      <c s="1369"/>
      <c r="AH20" s="1370"/>
      <c r="AJ20" s="1370"/>
      <c s="1369"/>
      <c r="AN20" s="514"/>
      <c s="514"/>
      <c s="514"/>
      <c s="514"/>
      <c s="514"/>
      <c s="1163">
        <v>0</v>
      </c>
    </row>
    <row r="21" spans="12:45" s="1369" customFormat="1" ht="14.25" customHeight="1" hidden="1">
      <c r="L21" s="1332"/>
      <c s="1365"/>
      <c s="1365"/>
      <c s="1365"/>
      <c s="1365"/>
      <c s="1374"/>
      <c s="1374"/>
      <c s="732"/>
      <c r="AC21" s="1369"/>
      <c r="AK21" s="1369"/>
      <c r="AN21" s="514"/>
      <c s="514"/>
      <c s="514"/>
      <c s="514"/>
      <c s="514"/>
      <c s="1163">
        <v>0</v>
      </c>
    </row>
    <row r="22" spans="12:45" s="1369" customFormat="1" ht="14.25" customHeight="1" hidden="1">
      <c r="L22" s="1332"/>
      <c s="1365"/>
      <c s="1365"/>
      <c s="1367" t="s">
        <v>418</v>
      </c>
      <c s="1365"/>
      <c s="1374"/>
      <c s="1374"/>
      <c s="732"/>
      <c s="1163" t="s">
        <v>419</v>
      </c>
      <c r="AA22" s="189" t="s">
        <v>420</v>
      </c>
      <c r="AC22" s="189" t="s">
        <v>421</v>
      </c>
      <c s="1163" t="s">
        <v>419</v>
      </c>
      <c r="AI22" s="189" t="s">
        <v>422</v>
      </c>
      <c r="AK22" s="189" t="s">
        <v>421</v>
      </c>
      <c r="AN22" s="514"/>
      <c s="514"/>
      <c s="514"/>
      <c s="514"/>
      <c s="514"/>
      <c s="1163">
        <v>0</v>
      </c>
    </row>
    <row r="23" spans="15:45" ht="14.25" customHeight="1" hidden="1">
      <c r="O23" s="1367"/>
      <c s="1314"/>
      <c r="AS23" s="1158">
        <v>0</v>
      </c>
    </row>
    <row r="24" spans="15:45" ht="14.25" customHeight="1" hidden="1">
      <c r="O24" s="1367"/>
      <c s="1314"/>
      <c r="AS24" s="1158">
        <v>0</v>
      </c>
    </row>
    <row r="25" spans="17:45" ht="14.7" customHeight="1">
      <c r="Q25" s="379"/>
      <c s="379"/>
      <c s="1278"/>
      <c s="366"/>
      <c s="366"/>
      <c s="512"/>
      <c s="512"/>
      <c s="512"/>
      <c s="512"/>
      <c s="512"/>
      <c s="512"/>
      <c s="512"/>
      <c s="512"/>
      <c s="512"/>
      <c s="512"/>
      <c s="512"/>
      <c s="512"/>
      <c s="512"/>
      <c s="512"/>
      <c s="512"/>
      <c s="512"/>
      <c r="AS25" s="1158">
        <v>14</v>
      </c>
    </row>
    <row r="26" spans="17:45" ht="14.7" customHeight="1">
      <c r="Q26" s="379"/>
      <c s="379"/>
      <c s="2251"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s="2251"/>
      <c s="2251"/>
      <c s="2251"/>
      <c s="2251"/>
      <c s="2251"/>
      <c s="2251"/>
      <c s="2251"/>
      <c s="2251"/>
      <c s="2251"/>
      <c s="2251"/>
      <c s="2251"/>
      <c s="2251"/>
      <c s="2251"/>
      <c s="2251"/>
      <c s="2251"/>
      <c s="2251"/>
      <c s="2251"/>
      <c s="1246"/>
      <c r="AS26" s="1158">
        <v>14</v>
      </c>
    </row>
    <row r="27" spans="17:45" ht="14.7" customHeight="1">
      <c r="Q27" s="379"/>
      <c s="379"/>
      <c s="2252" t="str">
        <f>IF(org=0,"Не определено",org)</f>
        <v>ГУП КК "Кубаньводкомплекс"</v>
      </c>
      <c s="2252"/>
      <c s="2252"/>
      <c s="2252"/>
      <c s="2252"/>
      <c s="2252"/>
      <c s="2252"/>
      <c s="2252"/>
      <c s="2252"/>
      <c s="2252"/>
      <c s="2252"/>
      <c s="2252"/>
      <c s="2252"/>
      <c s="2252"/>
      <c s="2252"/>
      <c s="2252"/>
      <c s="2252"/>
      <c s="2252"/>
      <c s="1246"/>
      <c r="AS27" s="1158">
        <v>14</v>
      </c>
    </row>
    <row r="28" spans="17:45" ht="14.25" customHeight="1" hidden="1">
      <c r="Q28" s="379"/>
      <c s="379"/>
      <c s="1278"/>
      <c s="366"/>
      <c s="366"/>
      <c s="325"/>
      <c s="325"/>
      <c s="325"/>
      <c s="325"/>
      <c s="325"/>
      <c s="325"/>
      <c s="325"/>
      <c s="325"/>
      <c s="325"/>
      <c s="325"/>
      <c s="325"/>
      <c s="325"/>
      <c s="325"/>
      <c s="325"/>
      <c s="325"/>
      <c s="325"/>
      <c s="512"/>
      <c r="AS28" s="1158">
        <v>0</v>
      </c>
    </row>
    <row r="29" spans="1:45" s="1856" customFormat="1" ht="25.5" customHeight="1" hidden="1">
      <c r="A29" s="1371"/>
      <c s="1371"/>
      <c s="1371"/>
      <c s="1371"/>
      <c s="1371"/>
      <c s="1371"/>
      <c s="1371"/>
      <c s="1371"/>
      <c s="1371"/>
      <c s="1371"/>
      <c s="1371"/>
      <c s="1372"/>
      <c s="1371"/>
      <c s="1371"/>
      <c s="1371"/>
      <c r="S29" s="2253" t="s">
        <v>42</v>
      </c>
      <c s="2253"/>
      <c s="1375"/>
      <c s="2254" t="str">
        <f>IF(TITLE_NAME_OR_PR_CHANGE="",IF(TITLE_NAME_OR_PR="","",TITLE_NAME_OR_PR),TITLE_NAME_OR_PR_CHANGE)</f>
        <v/>
      </c>
      <c s="2254"/>
      <c s="2254"/>
      <c s="2254"/>
      <c s="2254"/>
      <c s="2254"/>
      <c s="2254"/>
      <c s="329"/>
      <c s="2254" t="str">
        <f>IF(TITLE_NAME_OR_PR_CHANGE="",IF(TITLE_NAME_OR_PR="","",TITLE_NAME_OR_PR),TITLE_NAME_OR_PR_CHANGE)</f>
        <v/>
      </c>
      <c s="2254"/>
      <c s="2254"/>
      <c s="2254"/>
      <c s="2254"/>
      <c s="2254"/>
      <c s="2254"/>
      <c s="329"/>
      <c s="329"/>
      <c s="283"/>
      <c s="371"/>
      <c s="371"/>
      <c s="371"/>
      <c s="371"/>
      <c s="371"/>
      <c s="421">
        <v>0</v>
      </c>
    </row>
    <row r="30" spans="1:45" s="1856" customFormat="1" ht="18.75" customHeight="1" hidden="1">
      <c r="A30" s="1371"/>
      <c s="1371"/>
      <c s="1371"/>
      <c s="1371"/>
      <c s="1371"/>
      <c s="1371"/>
      <c s="1371"/>
      <c s="1371"/>
      <c s="1371"/>
      <c s="1371"/>
      <c s="1371"/>
      <c s="1372"/>
      <c s="1371"/>
      <c s="1371"/>
      <c s="1371"/>
      <c r="S30" s="2253" t="s">
        <v>423</v>
      </c>
      <c s="2253"/>
      <c s="1375"/>
      <c s="2267" t="str">
        <f>IF(TITLE_DATE_PR_CHANGE="",IF(TITLE_DATE_PR="","",TITLE_DATE_PR),TITLE_DATE_PR_CHANGE)</f>
        <v/>
      </c>
      <c s="2267"/>
      <c s="2267"/>
      <c s="2267"/>
      <c s="2267"/>
      <c s="2267"/>
      <c s="2267"/>
      <c s="329"/>
      <c s="2267" t="str">
        <f>IF(TITLE_DATE_PR_CHANGE="",IF(TITLE_DATE_PR="","",TITLE_DATE_PR),TITLE_DATE_PR_CHANGE)</f>
        <v/>
      </c>
      <c s="2267"/>
      <c s="2267"/>
      <c s="2267"/>
      <c s="2267"/>
      <c s="2267"/>
      <c s="2267"/>
      <c s="329"/>
      <c s="329"/>
      <c s="283"/>
      <c s="371"/>
      <c s="371"/>
      <c s="371"/>
      <c s="371"/>
      <c s="371"/>
      <c s="421">
        <v>0</v>
      </c>
    </row>
    <row r="31" spans="1:45" s="1856" customFormat="1" ht="18.75" customHeight="1" hidden="1">
      <c r="A31" s="1371"/>
      <c s="1371"/>
      <c s="1371"/>
      <c s="1371"/>
      <c s="1371"/>
      <c s="1371"/>
      <c s="1371"/>
      <c s="1371"/>
      <c s="1371"/>
      <c s="1371"/>
      <c s="1371"/>
      <c s="1372"/>
      <c s="1371"/>
      <c s="1371"/>
      <c s="1371"/>
      <c r="S31" s="2253" t="s">
        <v>424</v>
      </c>
      <c s="2253"/>
      <c s="1375"/>
      <c s="2254" t="str">
        <f>IF(TITLE_NUMBER_PR_CHANGE="",IF(TITLE_NUMBER_PR="","",TITLE_NUMBER_PR),TITLE_NUMBER_PR_CHANGE)</f>
        <v/>
      </c>
      <c s="2254"/>
      <c s="2254"/>
      <c s="2254"/>
      <c s="2254"/>
      <c s="2254"/>
      <c s="2254"/>
      <c s="329"/>
      <c s="2254" t="str">
        <f>IF(TITLE_NUMBER_PR_CHANGE="",IF(TITLE_NUMBER_PR="","",TITLE_NUMBER_PR),TITLE_NUMBER_PR_CHANGE)</f>
        <v/>
      </c>
      <c s="2254"/>
      <c s="2254"/>
      <c s="2254"/>
      <c s="2254"/>
      <c s="2254"/>
      <c s="2254"/>
      <c s="329"/>
      <c s="329"/>
      <c s="283"/>
      <c s="371"/>
      <c s="371"/>
      <c s="371"/>
      <c s="371"/>
      <c s="371"/>
      <c s="421">
        <v>0</v>
      </c>
    </row>
    <row r="32" spans="1:45" s="1856" customFormat="1" ht="18.75" customHeight="1" hidden="1">
      <c r="A32" s="1371"/>
      <c s="1371"/>
      <c s="1371"/>
      <c s="1371"/>
      <c s="1371"/>
      <c s="1371"/>
      <c s="1371"/>
      <c s="1371"/>
      <c s="1371"/>
      <c s="1371"/>
      <c s="1371"/>
      <c s="1372"/>
      <c s="1371"/>
      <c s="1371"/>
      <c s="1371"/>
      <c r="S32" s="2253" t="s">
        <v>43</v>
      </c>
      <c s="2253"/>
      <c s="1375"/>
      <c s="2254" t="str">
        <f>IF(TITLE_IST_PUB_CHANGE="",IF(TITLE_IST_PUB="","",TITLE_IST_PUB),TITLE_IST_PUB_CHANGE)</f>
        <v/>
      </c>
      <c s="2254"/>
      <c s="2254"/>
      <c s="2254"/>
      <c s="2254"/>
      <c s="2254"/>
      <c s="2254"/>
      <c s="329"/>
      <c s="2254" t="str">
        <f>IF(TITLE_IST_PUB_CHANGE="",IF(TITLE_IST_PUB="","",TITLE_IST_PUB),TITLE_IST_PUB_CHANGE)</f>
        <v/>
      </c>
      <c s="2254"/>
      <c s="2254"/>
      <c s="2254"/>
      <c s="2254"/>
      <c s="2254"/>
      <c s="2254"/>
      <c s="329"/>
      <c s="329"/>
      <c s="283"/>
      <c s="371"/>
      <c s="371"/>
      <c s="371"/>
      <c s="371"/>
      <c s="371"/>
      <c s="421">
        <v>0</v>
      </c>
    </row>
    <row r="33" spans="16:45" ht="14.25" customHeight="1" hidden="1">
      <c r="P33" s="1331"/>
      <c s="379"/>
      <c s="379"/>
      <c s="1278"/>
      <c s="366"/>
      <c s="366"/>
      <c s="325"/>
      <c s="325"/>
      <c s="325"/>
      <c s="325"/>
      <c s="325"/>
      <c s="325"/>
      <c s="325"/>
      <c s="325"/>
      <c s="325"/>
      <c s="325"/>
      <c s="325"/>
      <c s="325"/>
      <c s="325"/>
      <c s="325"/>
      <c s="325"/>
      <c s="325"/>
      <c s="512"/>
      <c r="AS33" s="1158">
        <v>0</v>
      </c>
    </row>
    <row r="34" spans="1:45" s="1856" customFormat="1" ht="18.75" customHeight="1" hidden="1">
      <c r="A34" s="1371"/>
      <c s="1371"/>
      <c s="1371"/>
      <c s="1371"/>
      <c s="1371"/>
      <c s="1371"/>
      <c s="1371"/>
      <c s="1371"/>
      <c s="1371"/>
      <c s="1371"/>
      <c s="1371"/>
      <c s="1372"/>
      <c s="1371"/>
      <c s="1371"/>
      <c s="1371"/>
      <c r="S34" s="2253" t="s">
        <v>425</v>
      </c>
      <c s="2253"/>
      <c s="1375"/>
      <c s="2267" t="str">
        <f>IF(TITLE_DATE_PR_CHANGE="",IF(TITLE_DATE_PR="","",TITLE_DATE_PR),TITLE_DATE_PR_CHANGE)</f>
        <v/>
      </c>
      <c s="2267"/>
      <c s="2267"/>
      <c s="2267"/>
      <c s="2267"/>
      <c s="2267"/>
      <c s="2267"/>
      <c s="329"/>
      <c s="2267" t="str">
        <f>IF(TITLE_DATE_PR_CHANGE="",IF(TITLE_DATE_PR="","",TITLE_DATE_PR),TITLE_DATE_PR_CHANGE)</f>
        <v/>
      </c>
      <c s="2267"/>
      <c s="2267"/>
      <c s="2267"/>
      <c s="2267"/>
      <c s="2267"/>
      <c s="2267"/>
      <c s="329"/>
      <c s="329"/>
      <c s="283"/>
      <c s="371"/>
      <c s="371"/>
      <c s="371"/>
      <c s="371"/>
      <c s="371"/>
      <c s="421">
        <v>0</v>
      </c>
    </row>
    <row r="35" spans="1:45" s="1856" customFormat="1" ht="18.75" customHeight="1" hidden="1">
      <c r="A35" s="1371"/>
      <c s="1371"/>
      <c s="1371"/>
      <c s="1371"/>
      <c s="1371"/>
      <c s="1371"/>
      <c s="1371"/>
      <c s="1371"/>
      <c s="1371"/>
      <c s="1371"/>
      <c s="1371"/>
      <c s="1372"/>
      <c s="1371"/>
      <c s="1371"/>
      <c s="1371"/>
      <c r="S35" s="2253" t="s">
        <v>426</v>
      </c>
      <c s="2253"/>
      <c s="1375"/>
      <c s="2254" t="str">
        <f>IF(TITLE_NUMBER_PR_CHANGE="",IF(TITLE_NUMBER_PR="","",TITLE_NUMBER_PR),TITLE_NUMBER_PR_CHANGE)</f>
        <v/>
      </c>
      <c s="2254"/>
      <c s="2254"/>
      <c s="2254"/>
      <c s="2254"/>
      <c s="2254"/>
      <c s="2254"/>
      <c s="329"/>
      <c s="2254" t="str">
        <f>IF(TITLE_NUMBER_PR_CHANGE="",IF(TITLE_NUMBER_PR="","",TITLE_NUMBER_PR),TITLE_NUMBER_PR_CHANGE)</f>
        <v/>
      </c>
      <c s="2254"/>
      <c s="2254"/>
      <c s="2254"/>
      <c s="2254"/>
      <c s="2254"/>
      <c s="2254"/>
      <c s="329"/>
      <c s="329"/>
      <c s="283"/>
      <c s="371"/>
      <c s="371"/>
      <c s="371"/>
      <c s="371"/>
      <c s="371"/>
      <c s="421">
        <v>0</v>
      </c>
    </row>
    <row r="36" spans="1:45" s="1856" customFormat="1" ht="0" customHeight="1">
      <c r="A36" s="1371"/>
      <c s="1371"/>
      <c s="1371"/>
      <c s="1371"/>
      <c s="1371"/>
      <c s="1371"/>
      <c s="1371"/>
      <c s="1371"/>
      <c s="1371"/>
      <c s="1371"/>
      <c s="1371"/>
      <c s="1372"/>
      <c s="1371"/>
      <c s="1371"/>
      <c s="1371"/>
      <c r="S36" s="326"/>
      <c s="326"/>
      <c s="1222"/>
      <c s="329"/>
      <c s="329"/>
      <c s="329"/>
      <c s="329"/>
      <c s="329"/>
      <c s="329"/>
      <c s="329"/>
      <c s="281" t="s">
        <v>427</v>
      </c>
      <c s="329"/>
      <c s="329"/>
      <c s="329"/>
      <c s="329"/>
      <c s="329"/>
      <c s="329"/>
      <c s="329"/>
      <c s="281" t="s">
        <v>427</v>
      </c>
      <c r="AN36" s="371"/>
      <c s="371"/>
      <c s="371"/>
      <c s="371"/>
      <c s="371"/>
      <c s="421">
        <v>0</v>
      </c>
    </row>
    <row r="37" spans="17:45" ht="14.7" customHeight="1">
      <c r="Q37" s="379"/>
      <c s="379"/>
      <c s="1278"/>
      <c s="366"/>
      <c s="1247"/>
      <c s="2255"/>
      <c s="2255"/>
      <c s="2255"/>
      <c s="2255"/>
      <c s="2255"/>
      <c s="2255"/>
      <c s="2255"/>
      <c s="2255"/>
      <c s="2255"/>
      <c s="2255"/>
      <c s="2255"/>
      <c s="2255"/>
      <c s="2255"/>
      <c s="2255"/>
      <c s="2255"/>
      <c s="2255"/>
      <c r="AS37" s="1158">
        <v>14</v>
      </c>
    </row>
    <row r="38" spans="17:45" ht="14.7" customHeight="1">
      <c r="Q38" s="379"/>
      <c s="379"/>
      <c s="2130" t="s">
        <v>300</v>
      </c>
      <c s="2130"/>
      <c s="2130"/>
      <c s="2130"/>
      <c s="2130"/>
      <c s="2130"/>
      <c s="2130"/>
      <c s="2130"/>
      <c s="2130"/>
      <c s="2130"/>
      <c s="2130"/>
      <c s="2130"/>
      <c s="2130"/>
      <c s="2130"/>
      <c s="2130"/>
      <c s="2130"/>
      <c s="2130"/>
      <c s="2130"/>
      <c s="2130"/>
      <c s="2130"/>
      <c s="2130" t="s">
        <v>301</v>
      </c>
      <c r="AS38" s="1158">
        <v>14</v>
      </c>
    </row>
    <row r="39" spans="17:45" ht="14.7" customHeight="1">
      <c r="Q39" s="379"/>
      <c s="379"/>
      <c s="2276" t="s">
        <v>87</v>
      </c>
      <c s="2212" t="s">
        <v>428</v>
      </c>
      <c s="304"/>
      <c s="2277" t="s">
        <v>429</v>
      </c>
      <c s="2278"/>
      <c s="2278"/>
      <c s="2278"/>
      <c s="2278"/>
      <c s="2278"/>
      <c s="2279"/>
      <c s="2280" t="s">
        <v>430</v>
      </c>
      <c s="2277" t="s">
        <v>429</v>
      </c>
      <c s="2278"/>
      <c s="2278"/>
      <c s="2278"/>
      <c s="2278"/>
      <c s="2278"/>
      <c s="2279"/>
      <c s="2280" t="s">
        <v>431</v>
      </c>
      <c s="2283" t="s">
        <v>432</v>
      </c>
      <c s="2130"/>
      <c r="AS39" s="1158">
        <v>14</v>
      </c>
    </row>
    <row r="40" spans="17:45" ht="35.7" customHeight="1">
      <c r="Q40" s="379"/>
      <c s="379"/>
      <c s="2276"/>
      <c s="2212"/>
      <c s="1034"/>
      <c s="2263" t="s">
        <v>433</v>
      </c>
      <c s="2613" t="s">
        <v>434</v>
      </c>
      <c s="2265" t="s">
        <v>435</v>
      </c>
      <c s="2266"/>
      <c s="2265" t="s">
        <v>436</v>
      </c>
      <c s="2272"/>
      <c s="2266"/>
      <c s="2281"/>
      <c s="2263" t="s">
        <v>433</v>
      </c>
      <c s="2286" t="s">
        <v>434</v>
      </c>
      <c s="2265" t="s">
        <v>435</v>
      </c>
      <c s="2266"/>
      <c s="2265" t="s">
        <v>436</v>
      </c>
      <c s="2272"/>
      <c s="2266"/>
      <c s="2281"/>
      <c s="2284"/>
      <c s="2130"/>
      <c r="AS40" s="1158">
        <v>34</v>
      </c>
    </row>
    <row r="41" spans="1:45" ht="35.7" customHeight="1">
      <c r="A41" s="1373"/>
      <c s="1373" t="s">
        <v>137</v>
      </c>
      <c s="1373" t="s">
        <v>138</v>
      </c>
      <c s="1373" t="s">
        <v>139</v>
      </c>
      <c s="1367" t="s">
        <v>437</v>
      </c>
      <c s="1367" t="s">
        <v>438</v>
      </c>
      <c s="1367" t="s">
        <v>439</v>
      </c>
      <c s="1367" t="s">
        <v>440</v>
      </c>
      <c s="1367" t="s">
        <v>441</v>
      </c>
      <c s="1367" t="s">
        <v>442</v>
      </c>
      <c s="1367" t="s">
        <v>443</v>
      </c>
      <c s="1367" t="s">
        <v>418</v>
      </c>
      <c r="Q41" s="379"/>
      <c s="379"/>
      <c s="2276"/>
      <c s="2212"/>
      <c s="305"/>
      <c s="2264"/>
      <c s="2287"/>
      <c s="1225" t="s">
        <v>444</v>
      </c>
      <c s="1225" t="s">
        <v>445</v>
      </c>
      <c s="1224" t="s">
        <v>446</v>
      </c>
      <c s="2273" t="s">
        <v>447</v>
      </c>
      <c s="2274"/>
      <c s="2282"/>
      <c s="2264"/>
      <c s="2287"/>
      <c s="1225" t="s">
        <v>444</v>
      </c>
      <c s="1225" t="s">
        <v>445</v>
      </c>
      <c s="1316" t="s">
        <v>446</v>
      </c>
      <c s="2273" t="s">
        <v>447</v>
      </c>
      <c s="2274"/>
      <c s="2282"/>
      <c s="2285"/>
      <c s="2130"/>
      <c r="AS41" s="1158">
        <v>34</v>
      </c>
    </row>
    <row r="42" spans="1:45" s="1644" customFormat="1" ht="11.25" customHeight="1" hidden="1">
      <c r="A42" s="1373"/>
      <c s="1373"/>
      <c s="1373"/>
      <c s="1373"/>
      <c s="1373"/>
      <c s="1373"/>
      <c s="1373"/>
      <c s="1373"/>
      <c s="1373"/>
      <c s="1373"/>
      <c s="1373"/>
      <c s="1367"/>
      <c s="1365"/>
      <c s="1365"/>
      <c s="1365"/>
      <c s="1249"/>
      <c s="1250"/>
      <c s="1257">
        <v>1</v>
      </c>
      <c s="1280" t="s">
        <v>109</v>
      </c>
      <c s="1258" t="s">
        <v>110</v>
      </c>
      <c s="1248" t="str">
        <f ca="1">OFFSET(U42,0,-1)</f>
        <v>2</v>
      </c>
      <c s="1259">
        <f ca="1">OFFSET(V42,0,-1)+1</f>
        <v>3</v>
      </c>
      <c s="1259"/>
      <c s="1259">
        <f ca="1">OFFSET(X42,0,-1)+1</f>
        <v>1</v>
      </c>
      <c s="1259">
        <f ca="1">OFFSET(Y42,0,-1)+1</f>
        <v>2</v>
      </c>
      <c s="1259">
        <f ca="1">OFFSET(Z42,0,-1)+1</f>
        <v>3</v>
      </c>
      <c s="2275">
        <f ca="1">OFFSET(AA42,0,-1)+1</f>
        <v>4</v>
      </c>
      <c s="2275"/>
      <c s="1259">
        <f ca="1">OFFSET(AC42,0,-2)+1</f>
        <v>5</v>
      </c>
      <c s="1315">
        <f ca="1">OFFSET(AD42,0,-1)+1</f>
        <v>6</v>
      </c>
      <c s="1315"/>
      <c s="1315">
        <f ca="1">OFFSET(AF42,0,-1)+1</f>
        <v>1</v>
      </c>
      <c s="1315">
        <f ca="1">OFFSET(AG42,0,-1)+1</f>
        <v>2</v>
      </c>
      <c s="1315">
        <f ca="1">OFFSET(AH42,0,-1)+1</f>
        <v>3</v>
      </c>
      <c s="2275">
        <f ca="1">OFFSET(AI42,0,-1)+1</f>
        <v>4</v>
      </c>
      <c s="2275"/>
      <c s="1315">
        <f ca="1">OFFSET(AK42,0,-2)+1</f>
        <v>5</v>
      </c>
      <c s="1248">
        <f ca="1">OFFSET(AL42,0,-1)</f>
        <v>5</v>
      </c>
      <c s="1259">
        <f ca="1">OFFSET(AM42,0,-1)+1</f>
        <v>6</v>
      </c>
      <c s="514"/>
      <c s="514"/>
      <c s="514"/>
      <c s="514"/>
      <c s="514"/>
      <c s="499">
        <v>0</v>
      </c>
    </row>
    <row r="43" spans="1:45" ht="24" customHeight="1">
      <c r="A43" s="1366" t="s">
        <v>158</v>
      </c>
      <c s="1366"/>
      <c s="1366"/>
      <c s="1366"/>
      <c s="2261">
        <v>1</v>
      </c>
      <c s="1366"/>
      <c s="1366"/>
      <c s="1366"/>
      <c s="1366"/>
      <c s="1366"/>
      <c s="1366"/>
      <c s="1367"/>
      <c s="1368"/>
      <c s="1368"/>
      <c s="1368"/>
      <c s="364"/>
      <c s="363"/>
      <c s="358"/>
      <c s="1227">
        <f>INDEX(PT_DIFFERENTIATION_NUM_NTAR,MATCH(A43,PT_DIFFERENTIATION_NTAR_ID,0))</f>
        <v>0</v>
      </c>
      <c s="301" t="s">
        <v>125</v>
      </c>
      <c s="303"/>
      <c s="2245"/>
      <c s="2246"/>
      <c s="2246"/>
      <c s="2246"/>
      <c s="2246"/>
      <c s="2246"/>
      <c s="2246"/>
      <c s="2247"/>
      <c s="2245" t="str">
        <f>INDEX(PT_DIFFERENTIATION_NTAR,MATCH(A43,PT_DIFFERENTIATION_NTAR_ID,0))</f>
        <v/>
      </c>
      <c s="2246"/>
      <c s="2246"/>
      <c s="2246"/>
      <c s="2246"/>
      <c s="2246"/>
      <c s="2246"/>
      <c s="2246"/>
      <c s="2247"/>
      <c s="1261"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3"/>
      <c s="503" t="str">
        <f>IF(T43="","",T43)</f>
        <v>Наименование тарифа</v>
      </c>
      <c s="503"/>
      <c s="503"/>
      <c s="1158">
        <v>23</v>
      </c>
    </row>
    <row r="44" spans="1:45" ht="24" customHeight="1">
      <c r="A44" s="1366" t="s">
        <v>158</v>
      </c>
      <c s="1366" t="s">
        <v>159</v>
      </c>
      <c s="1366"/>
      <c s="1366"/>
      <c s="2262"/>
      <c s="2261">
        <v>1</v>
      </c>
      <c s="1366"/>
      <c s="1366"/>
      <c s="1366"/>
      <c s="1366"/>
      <c s="1366"/>
      <c s="1367"/>
      <c s="1368"/>
      <c s="1368"/>
      <c s="1368"/>
      <c s="525"/>
      <c s="355"/>
      <c s="356"/>
      <c s="1227" t="str">
        <f>INDEX(PT_DIFFERENTIATION_NUM_TER,MATCH(B44,PT_DIFFERENTIATION_TER_ID,0))</f>
        <v>.</v>
      </c>
      <c s="311" t="s">
        <v>397</v>
      </c>
      <c s="303"/>
      <c s="2245"/>
      <c s="2246"/>
      <c s="2246"/>
      <c s="2246"/>
      <c s="2246"/>
      <c s="2246"/>
      <c s="2246"/>
      <c s="2247"/>
      <c s="2245" t="str">
        <f>INDEX(PT_DIFFERENTIATION_TER,MATCH(B44,PT_DIFFERENTIATION_TER_ID,0))</f>
        <v/>
      </c>
      <c s="2246"/>
      <c s="2246"/>
      <c s="2246"/>
      <c s="2246"/>
      <c s="2246"/>
      <c s="2246"/>
      <c s="2246"/>
      <c s="2247"/>
      <c s="1261" t="s">
        <v>398</v>
      </c>
      <c r="AO44" s="503"/>
      <c s="503" t="str">
        <f>IF(T44="","",T44)</f>
        <v>Территория действия тарифа</v>
      </c>
      <c s="503"/>
      <c s="503"/>
      <c s="1158">
        <v>23</v>
      </c>
    </row>
    <row r="45" spans="1:45" ht="24" customHeight="1">
      <c r="A45" s="1366" t="s">
        <v>158</v>
      </c>
      <c s="1366" t="s">
        <v>159</v>
      </c>
      <c s="1366" t="s">
        <v>160</v>
      </c>
      <c s="1366"/>
      <c s="2262"/>
      <c s="2262"/>
      <c s="2261">
        <v>1</v>
      </c>
      <c s="1366"/>
      <c s="1366"/>
      <c s="1366"/>
      <c s="1366"/>
      <c s="1367"/>
      <c s="1368"/>
      <c s="1368"/>
      <c s="1368"/>
      <c s="357"/>
      <c s="355"/>
      <c s="356"/>
      <c s="1227" t="str">
        <f>INDEX(PT_DIFFERENTIATION_NUM_CS,MATCH(C45,PT_DIFFERENTIATION_CS_ID,0))</f>
        <v>..</v>
      </c>
      <c s="312" t="s">
        <v>399</v>
      </c>
      <c s="303"/>
      <c s="2245"/>
      <c s="2246"/>
      <c s="2246"/>
      <c s="2246"/>
      <c s="2246"/>
      <c s="2246"/>
      <c s="2246"/>
      <c s="2247"/>
      <c s="2245" t="str">
        <f>INDEX(PT_DIFFERENTIATION_CS,MATCH(C45,PT_DIFFERENTIATION_CS_ID,0))</f>
        <v/>
      </c>
      <c s="2246"/>
      <c s="2246"/>
      <c s="2246"/>
      <c s="2246"/>
      <c s="2246"/>
      <c s="2246"/>
      <c s="2246"/>
      <c s="2247"/>
      <c s="1261" t="s">
        <v>400</v>
      </c>
      <c r="AO45" s="503"/>
      <c s="503" t="str">
        <f>IF(T45="","",T45)</f>
        <v>Наименование системы теплоснабжения</v>
      </c>
      <c s="503"/>
      <c s="503"/>
      <c s="1158">
        <v>23</v>
      </c>
    </row>
    <row r="46" spans="1:45" ht="24" customHeight="1">
      <c r="A46" s="1366" t="s">
        <v>158</v>
      </c>
      <c s="1366" t="s">
        <v>159</v>
      </c>
      <c s="1366" t="s">
        <v>160</v>
      </c>
      <c s="1366" t="s">
        <v>161</v>
      </c>
      <c s="2262"/>
      <c s="2262"/>
      <c s="2262"/>
      <c s="2261">
        <v>1</v>
      </c>
      <c s="1366"/>
      <c s="1366"/>
      <c s="1366"/>
      <c s="1367"/>
      <c s="1368"/>
      <c s="1368"/>
      <c s="1368"/>
      <c s="357"/>
      <c s="355"/>
      <c s="356"/>
      <c s="1227" t="str">
        <f>INDEX(PT_DIFFERENTIATION_NUM_IST_TE,MATCH(D46,PT_DIFFERENTIATION_IST_TE_ID,0))</f>
        <v>...</v>
      </c>
      <c s="313" t="s">
        <v>401</v>
      </c>
      <c s="303"/>
      <c s="2245"/>
      <c s="2246"/>
      <c s="2246"/>
      <c s="2246"/>
      <c s="2246"/>
      <c s="2246"/>
      <c s="2246"/>
      <c s="2247"/>
      <c s="2245" t="str">
        <f>INDEX(PT_DIFFERENTIATION_IST_TE,MATCH(D46,PT_DIFFERENTIATION_IST_TE_ID,0))</f>
        <v/>
      </c>
      <c s="2246"/>
      <c s="2246"/>
      <c s="2246"/>
      <c s="2246"/>
      <c s="2246"/>
      <c s="2246"/>
      <c s="2246"/>
      <c s="2247"/>
      <c s="1261" t="s">
        <v>402</v>
      </c>
      <c r="AO46" s="503"/>
      <c s="503" t="str">
        <f>IF(T46="","",T46)</f>
        <v>Источник тепловой энергии</v>
      </c>
      <c s="503"/>
      <c s="503"/>
      <c s="1158">
        <v>23</v>
      </c>
    </row>
    <row r="47" spans="1:45" ht="49.5" customHeight="1">
      <c r="A47" s="1366" t="s">
        <v>158</v>
      </c>
      <c s="1366" t="s">
        <v>159</v>
      </c>
      <c s="1366" t="s">
        <v>160</v>
      </c>
      <c s="1366" t="s">
        <v>161</v>
      </c>
      <c s="2262"/>
      <c s="2262"/>
      <c s="2262"/>
      <c s="2262"/>
      <c s="2259" t="str">
        <f>S46&amp;".1"</f>
        <v>....1</v>
      </c>
      <c s="1366"/>
      <c s="1366"/>
      <c s="1367" t="s">
        <v>403</v>
      </c>
      <c r="P47" s="2260">
        <v>1</v>
      </c>
      <c s="1223"/>
      <c s="359"/>
      <c s="1227" t="str">
        <f>$I47</f>
        <v>....1</v>
      </c>
      <c s="288" t="s">
        <v>404</v>
      </c>
      <c s="303"/>
      <c s="2248"/>
      <c s="2249"/>
      <c s="2249"/>
      <c s="2249"/>
      <c s="2249"/>
      <c s="2249"/>
      <c s="2249"/>
      <c s="2250"/>
      <c s="2248"/>
      <c s="2249"/>
      <c s="2249"/>
      <c s="2249"/>
      <c s="2249"/>
      <c s="2249"/>
      <c s="2249"/>
      <c s="2249"/>
      <c s="2250"/>
      <c s="1261" t="s">
        <v>405</v>
      </c>
      <c r="AO47" s="503"/>
      <c s="503" t="str">
        <f>IF(T47="","",T47)</f>
        <v>Схема подключения теплопотребляющей установки к коллектору источника тепловой энергии</v>
      </c>
      <c s="503"/>
      <c s="503"/>
      <c s="1158">
        <v>47</v>
      </c>
    </row>
    <row r="48" spans="1:45" ht="24" customHeight="1">
      <c r="A48" s="1366" t="s">
        <v>158</v>
      </c>
      <c s="1366" t="s">
        <v>159</v>
      </c>
      <c s="1366" t="s">
        <v>160</v>
      </c>
      <c s="1366" t="s">
        <v>161</v>
      </c>
      <c s="2262"/>
      <c s="2262"/>
      <c s="2262"/>
      <c s="2262"/>
      <c s="2289"/>
      <c s="2259" t="str">
        <f>I47&amp;".1"</f>
        <v>....1.1</v>
      </c>
      <c s="1366"/>
      <c s="1367" t="s">
        <v>406</v>
      </c>
      <c r="P48" s="2260"/>
      <c s="2260">
        <v>1</v>
      </c>
      <c s="360"/>
      <c s="1227" t="str">
        <f>$J48</f>
        <v>....1.1</v>
      </c>
      <c s="289" t="s">
        <v>407</v>
      </c>
      <c s="303"/>
      <c s="2248"/>
      <c s="2249"/>
      <c s="2249"/>
      <c s="2249"/>
      <c s="2249"/>
      <c s="2249"/>
      <c s="2249"/>
      <c s="2250"/>
      <c s="2248"/>
      <c s="2249"/>
      <c s="2249"/>
      <c s="2249"/>
      <c s="2249"/>
      <c s="2249"/>
      <c s="2249"/>
      <c s="2249"/>
      <c s="2250"/>
      <c s="1261" t="s">
        <v>408</v>
      </c>
      <c r="AO48" s="503"/>
      <c s="503" t="str">
        <f>IF(T48="","",T48)</f>
        <v>Группа потребителей</v>
      </c>
      <c s="503"/>
      <c s="503"/>
      <c s="1158">
        <v>23</v>
      </c>
    </row>
    <row r="49" spans="1:45" ht="24" customHeight="1">
      <c r="A49" s="1366" t="s">
        <v>158</v>
      </c>
      <c s="1366" t="s">
        <v>159</v>
      </c>
      <c s="1366" t="s">
        <v>160</v>
      </c>
      <c s="1366" t="s">
        <v>161</v>
      </c>
      <c s="2262"/>
      <c s="2262"/>
      <c s="2262"/>
      <c s="2262"/>
      <c s="2289"/>
      <c s="2289"/>
      <c s="2259" t="str">
        <f>J48&amp;".1"</f>
        <v>....1.1.1</v>
      </c>
      <c s="1367" t="s">
        <v>409</v>
      </c>
      <c r="P49" s="2260"/>
      <c s="2260"/>
      <c s="360">
        <v>1</v>
      </c>
      <c s="1227" t="str">
        <f>$K49</f>
        <v>....1.1.1</v>
      </c>
      <c s="1350"/>
      <c s="303"/>
      <c s="754"/>
      <c s="328"/>
      <c s="754"/>
      <c s="1260"/>
      <c s="2268"/>
      <c s="2110" t="s">
        <v>65</v>
      </c>
      <c s="2268"/>
      <c s="2110" t="s">
        <v>65</v>
      </c>
      <c s="754"/>
      <c s="328"/>
      <c s="754"/>
      <c s="1260"/>
      <c s="2268"/>
      <c s="2110" t="s">
        <v>65</v>
      </c>
      <c s="2290"/>
      <c s="2110" t="s">
        <v>65</v>
      </c>
      <c s="1351"/>
      <c s="2256" t="s">
        <v>410</v>
      </c>
      <c s="514">
        <f>STRCHECKDATE(V50:AL50)</f>
      </c>
      <c s="503"/>
      <c s="503" t="str">
        <f>IF(T49="","",T49)</f>
        <v/>
      </c>
      <c s="503"/>
      <c s="503"/>
      <c s="1158">
        <v>23</v>
      </c>
    </row>
    <row r="50" spans="1:45" ht="1.05" customHeight="1">
      <c r="A50" s="1366" t="s">
        <v>158</v>
      </c>
      <c s="1366" t="s">
        <v>159</v>
      </c>
      <c s="1366" t="s">
        <v>160</v>
      </c>
      <c s="1366" t="s">
        <v>161</v>
      </c>
      <c s="2262"/>
      <c s="2262"/>
      <c s="2262"/>
      <c s="2262"/>
      <c s="2289"/>
      <c s="2289"/>
      <c s="2259"/>
      <c s="1367"/>
      <c r="P50" s="2260"/>
      <c s="2260"/>
      <c s="360"/>
      <c s="1226"/>
      <c s="303"/>
      <c s="303"/>
      <c s="328"/>
      <c s="328"/>
      <c s="328"/>
      <c s="331" t="str">
        <f>Z49&amp;"-"&amp;AB49</f>
        <v>-</v>
      </c>
      <c s="2269"/>
      <c s="2110"/>
      <c s="2269"/>
      <c s="2110"/>
      <c s="328"/>
      <c s="328"/>
      <c s="328"/>
      <c s="331" t="str">
        <f>AH49&amp;"-"&amp;AJ49</f>
        <v>-</v>
      </c>
      <c s="2269"/>
      <c s="2110"/>
      <c s="2291"/>
      <c s="2110"/>
      <c s="1352"/>
      <c s="2257"/>
      <c r="AO50" s="503"/>
      <c s="503" t="str">
        <f>IF(T50="","",T50)</f>
        <v/>
      </c>
      <c s="503"/>
      <c s="503"/>
      <c s="1158">
        <v>1</v>
      </c>
    </row>
    <row r="51" spans="1:45" ht="11.55" customHeight="1">
      <c r="A51" s="1366" t="s">
        <v>158</v>
      </c>
      <c s="1366" t="s">
        <v>159</v>
      </c>
      <c s="1366" t="s">
        <v>160</v>
      </c>
      <c s="1366" t="s">
        <v>161</v>
      </c>
      <c s="2262"/>
      <c s="2262"/>
      <c s="2262"/>
      <c s="2262"/>
      <c s="2289"/>
      <c s="2259"/>
      <c s="1366"/>
      <c s="1367"/>
      <c r="P51" s="2260"/>
      <c s="2260"/>
      <c s="359"/>
      <c s="1281"/>
      <c s="291" t="s">
        <v>411</v>
      </c>
      <c s="370"/>
      <c s="370"/>
      <c s="370"/>
      <c s="370"/>
      <c s="370"/>
      <c s="370"/>
      <c s="370"/>
      <c s="370"/>
      <c s="370"/>
      <c s="370"/>
      <c s="370"/>
      <c s="370"/>
      <c s="370"/>
      <c s="370"/>
      <c s="370"/>
      <c s="370"/>
      <c s="370"/>
      <c s="327"/>
      <c s="2258"/>
      <c r="AO51" s="503"/>
      <c s="503" t="str">
        <f>IF(T51="","",T51)</f>
        <v>Добавить вид теплоносителя (параметры теплоносителя)</v>
      </c>
      <c s="503"/>
      <c s="503"/>
      <c s="1158">
        <v>11</v>
      </c>
    </row>
    <row r="52" spans="1:45" ht="11.55" customHeight="1">
      <c r="A52" s="1366" t="s">
        <v>158</v>
      </c>
      <c s="1366" t="s">
        <v>159</v>
      </c>
      <c s="1366" t="s">
        <v>160</v>
      </c>
      <c s="1366" t="s">
        <v>161</v>
      </c>
      <c s="2262"/>
      <c s="2262"/>
      <c s="2262"/>
      <c s="2262"/>
      <c s="2259"/>
      <c s="1366"/>
      <c s="1366"/>
      <c s="1367"/>
      <c r="P52" s="2260"/>
      <c s="1223"/>
      <c s="359"/>
      <c s="1281"/>
      <c s="290" t="s">
        <v>412</v>
      </c>
      <c s="370"/>
      <c s="370"/>
      <c s="370"/>
      <c s="370"/>
      <c s="370"/>
      <c s="370"/>
      <c s="370"/>
      <c s="370"/>
      <c s="369"/>
      <c s="370"/>
      <c s="370"/>
      <c s="370"/>
      <c s="370"/>
      <c s="370"/>
      <c s="370"/>
      <c s="370"/>
      <c s="369"/>
      <c s="370"/>
      <c s="306"/>
      <c r="AO52" s="503"/>
      <c s="503" t="str">
        <f>IF(T52="","",T52)</f>
        <v>Добавить группу потребителей</v>
      </c>
      <c s="503"/>
      <c s="503"/>
      <c s="1158">
        <v>11</v>
      </c>
    </row>
    <row r="53" spans="1:45" ht="14.7" customHeight="1">
      <c r="A53" s="1366" t="s">
        <v>158</v>
      </c>
      <c s="1366" t="s">
        <v>159</v>
      </c>
      <c s="1366" t="s">
        <v>160</v>
      </c>
      <c s="1366" t="s">
        <v>161</v>
      </c>
      <c s="2262"/>
      <c s="2262"/>
      <c s="2262"/>
      <c s="2261"/>
      <c s="1366"/>
      <c s="1366"/>
      <c s="1366"/>
      <c s="1367"/>
      <c s="1368"/>
      <c s="1368"/>
      <c s="540"/>
      <c s="363"/>
      <c s="378"/>
      <c s="358"/>
      <c s="1281"/>
      <c s="368" t="s">
        <v>413</v>
      </c>
      <c s="370"/>
      <c s="370"/>
      <c s="370"/>
      <c s="370"/>
      <c s="370"/>
      <c s="370"/>
      <c s="370"/>
      <c s="370"/>
      <c s="369"/>
      <c s="370"/>
      <c s="370"/>
      <c s="370"/>
      <c s="370"/>
      <c s="370"/>
      <c s="370"/>
      <c s="370"/>
      <c s="369"/>
      <c s="370"/>
      <c s="306"/>
      <c r="AO53" s="503"/>
      <c s="503" t="str">
        <f>IF(T53="","",T53)</f>
        <v>Добавить схему подключения</v>
      </c>
      <c s="503"/>
      <c s="503"/>
      <c s="1158">
        <v>14</v>
      </c>
    </row>
    <row r="54" spans="1:45" s="1645" customFormat="1" ht="1.05" customHeight="1">
      <c r="A54" s="1346" t="s">
        <v>158</v>
      </c>
      <c s="1346" t="s">
        <v>159</v>
      </c>
      <c s="1346" t="s">
        <v>160</v>
      </c>
      <c s="1317"/>
      <c s="2262"/>
      <c s="2262"/>
      <c s="2261"/>
      <c s="1317"/>
      <c s="1317"/>
      <c s="1317"/>
      <c s="1317"/>
      <c s="1342"/>
      <c s="1318"/>
      <c s="1318"/>
      <c r="P54" s="1319"/>
      <c s="1320"/>
      <c s="1319"/>
      <c s="1325"/>
      <c s="1328" t="s">
        <v>414</v>
      </c>
      <c s="1327"/>
      <c s="1327"/>
      <c s="1327"/>
      <c s="1327"/>
      <c s="1327"/>
      <c s="1327"/>
      <c s="1327"/>
      <c s="1327"/>
      <c s="1327"/>
      <c s="1327"/>
      <c s="1327"/>
      <c s="1327"/>
      <c s="1327"/>
      <c s="1327"/>
      <c s="1327"/>
      <c s="1327"/>
      <c s="1327"/>
      <c s="1327"/>
      <c s="1327"/>
      <c r="AO54" s="792"/>
      <c s="792" t="str">
        <f>IF(T54="","",T54)</f>
        <v>Добавить источник для дифференциации</v>
      </c>
      <c s="792"/>
      <c s="792"/>
      <c s="521">
        <v>1</v>
      </c>
    </row>
    <row r="55" spans="1:45" s="1645" customFormat="1" ht="1.05" customHeight="1">
      <c r="A55" s="1346" t="s">
        <v>158</v>
      </c>
      <c s="1346" t="s">
        <v>159</v>
      </c>
      <c s="1317"/>
      <c s="1317"/>
      <c s="2262"/>
      <c s="2261"/>
      <c s="1317"/>
      <c s="1317"/>
      <c s="1317"/>
      <c s="1317"/>
      <c s="1317"/>
      <c s="1342"/>
      <c s="1324"/>
      <c s="1324"/>
      <c r="P55" s="1319"/>
      <c s="1320"/>
      <c s="1319"/>
      <c s="1325"/>
      <c s="1328" t="s">
        <v>415</v>
      </c>
      <c s="1327"/>
      <c s="1327"/>
      <c s="1327"/>
      <c s="1327"/>
      <c s="1327"/>
      <c s="1327"/>
      <c s="1327"/>
      <c s="1327"/>
      <c s="1327"/>
      <c s="1327"/>
      <c s="1327"/>
      <c s="1327"/>
      <c s="1327"/>
      <c s="1327"/>
      <c s="1327"/>
      <c s="1327"/>
      <c s="1327"/>
      <c s="1327"/>
      <c s="1327"/>
      <c r="AO55" s="792"/>
      <c s="792" t="str">
        <f>IF(T55="","",T55)</f>
        <v>Добавить централизованную систему для дифференциации</v>
      </c>
      <c s="792"/>
      <c s="792"/>
      <c s="521">
        <v>1</v>
      </c>
    </row>
    <row r="56" spans="1:45" s="1645" customFormat="1" ht="1.05" customHeight="1">
      <c r="A56" s="1346" t="s">
        <v>158</v>
      </c>
      <c s="1346"/>
      <c s="1346"/>
      <c s="1346"/>
      <c s="2261"/>
      <c s="1346"/>
      <c s="1346"/>
      <c s="1346"/>
      <c s="1346"/>
      <c s="1346"/>
      <c s="1346"/>
      <c s="1349"/>
      <c s="1324"/>
      <c s="1324"/>
      <c s="521"/>
      <c s="383"/>
      <c s="1347"/>
      <c s="383"/>
      <c s="1325"/>
      <c s="1328" t="s">
        <v>416</v>
      </c>
      <c s="1327"/>
      <c s="1327"/>
      <c s="1327"/>
      <c s="1327"/>
      <c s="1327"/>
      <c s="1327"/>
      <c s="1327"/>
      <c s="1327"/>
      <c s="1327"/>
      <c s="1327"/>
      <c s="1327"/>
      <c s="1327"/>
      <c s="1327"/>
      <c s="1327"/>
      <c s="1327"/>
      <c s="1327"/>
      <c s="1327"/>
      <c s="1327"/>
      <c s="1327"/>
      <c r="AO56" s="503"/>
      <c s="503" t="str">
        <f>IF(T56="","",T56)</f>
        <v>Добавить территорию для дифференциации</v>
      </c>
      <c s="503"/>
      <c s="503"/>
      <c s="514">
        <v>1</v>
      </c>
    </row>
    <row r="57" spans="1:45" s="1645" customFormat="1" ht="1.05" customHeight="1">
      <c r="A57" s="1317"/>
      <c s="1317"/>
      <c s="1317"/>
      <c s="1317"/>
      <c s="1346"/>
      <c s="1317"/>
      <c s="1317"/>
      <c s="1317"/>
      <c s="1317"/>
      <c s="1317"/>
      <c s="1317"/>
      <c s="1342"/>
      <c s="1324"/>
      <c s="1324"/>
      <c r="P57" s="1319"/>
      <c s="1320"/>
      <c s="1319"/>
      <c s="1325"/>
      <c s="1328" t="s">
        <v>448</v>
      </c>
      <c s="1327"/>
      <c s="1327"/>
      <c s="1327"/>
      <c s="1327"/>
      <c s="1327"/>
      <c s="1327"/>
      <c s="1327"/>
      <c s="1327"/>
      <c s="1327"/>
      <c s="1327"/>
      <c s="1327"/>
      <c s="1327"/>
      <c s="1327"/>
      <c s="1327"/>
      <c s="1327"/>
      <c s="1327"/>
      <c s="1327"/>
      <c s="1327"/>
      <c s="1327"/>
      <c r="AO57" s="792"/>
      <c s="792" t="str">
        <f>IF(T57="","",T57)</f>
        <v>Добавить наименование тарифа</v>
      </c>
      <c s="792"/>
      <c s="792"/>
      <c s="521">
        <v>1</v>
      </c>
    </row>
    <row r="58" spans="13:45" ht="11.55" customHeight="1">
      <c r="M58" s="1163"/>
      <c s="1163"/>
      <c s="540"/>
      <c s="1158"/>
      <c s="1158"/>
      <c s="1158"/>
      <c s="1158"/>
      <c r="AN58" s="1158"/>
      <c s="1158"/>
      <c s="1158"/>
      <c s="1158"/>
      <c s="1158"/>
      <c s="1158">
        <v>11</v>
      </c>
    </row>
    <row r="59" spans="15:45" ht="28.5" customHeight="1">
      <c r="O59" s="540"/>
      <c r="S59" s="1256"/>
      <c s="2288"/>
      <c s="2288"/>
      <c s="2288"/>
      <c s="2288"/>
      <c s="2288"/>
      <c s="2288"/>
      <c s="2288"/>
      <c s="2288"/>
      <c s="2288"/>
      <c s="2288"/>
      <c s="2288"/>
      <c s="2288"/>
      <c s="2288"/>
      <c s="2288"/>
      <c s="2288"/>
      <c s="2288"/>
      <c s="2288"/>
      <c s="2288"/>
      <c s="2288"/>
      <c s="2288"/>
      <c r="AS59" s="1158">
        <v>27</v>
      </c>
    </row>
    <row r="60" spans="15:45" ht="67.2" customHeight="1">
      <c r="O60" s="540"/>
      <c s="1306"/>
      <c r="T60" s="2288"/>
      <c s="2288"/>
      <c s="2288"/>
      <c s="2288"/>
      <c s="2288"/>
      <c s="2288"/>
      <c s="2288"/>
      <c s="2288"/>
      <c s="2288"/>
      <c s="2288"/>
      <c s="2288"/>
      <c s="2288"/>
      <c s="2288"/>
      <c s="2288"/>
      <c s="2288"/>
      <c s="2288"/>
      <c s="2288"/>
      <c s="2288"/>
      <c s="2288"/>
      <c s="2288"/>
      <c r="AS60" s="1158">
        <v>64</v>
      </c>
    </row>
    <row r="61" spans="15:45" ht="14.7" customHeight="1">
      <c r="O61" s="540"/>
      <c r="AS61" s="1158">
        <v>14</v>
      </c>
    </row>
    <row r="62" spans="15:45" ht="18.75" customHeight="1">
      <c r="O62" s="540"/>
      <c s="1331"/>
      <c r="S62" s="1256"/>
      <c s="2288"/>
      <c s="2288"/>
      <c s="2288"/>
      <c s="2288"/>
      <c s="2288"/>
      <c s="2288"/>
      <c s="2288"/>
      <c s="2288"/>
      <c s="2288"/>
      <c s="2288"/>
      <c s="2288"/>
      <c s="2288"/>
      <c s="2288"/>
      <c s="2288"/>
      <c s="2288"/>
      <c s="2288"/>
      <c s="2288"/>
      <c s="2288"/>
      <c s="2288"/>
      <c s="2288"/>
      <c r="AS62" s="1158">
        <v>18</v>
      </c>
    </row>
    <row r="63" spans="15:45" ht="18.75" customHeight="1">
      <c r="O63" s="540"/>
      <c s="1331"/>
      <c r="T63" s="2288"/>
      <c s="2288"/>
      <c s="2288"/>
      <c s="2288"/>
      <c s="2288"/>
      <c s="2288"/>
      <c s="2288"/>
      <c s="2288"/>
      <c s="2288"/>
      <c s="2288"/>
      <c s="2288"/>
      <c s="2288"/>
      <c s="2288"/>
      <c s="2288"/>
      <c s="2288"/>
      <c s="2288"/>
      <c s="2288"/>
      <c s="2288"/>
      <c s="2288"/>
      <c s="2288"/>
      <c r="AS63" s="1158">
        <v>18</v>
      </c>
    </row>
    <row r="64" spans="15:45" ht="29.25" customHeight="1">
      <c r="O64" s="540"/>
      <c s="1331"/>
      <c r="S64" s="1256"/>
      <c s="2288"/>
      <c s="2288"/>
      <c s="2288"/>
      <c s="2288"/>
      <c s="2288"/>
      <c s="2288"/>
      <c s="2288"/>
      <c s="2288"/>
      <c s="2288"/>
      <c s="2288"/>
      <c s="2288"/>
      <c s="2288"/>
      <c s="2288"/>
      <c s="2288"/>
      <c s="2288"/>
      <c s="2288"/>
      <c s="2288"/>
      <c s="2288"/>
      <c s="2288"/>
      <c s="2288"/>
      <c r="AS64" s="1158">
        <v>28</v>
      </c>
    </row>
    <row r="65" spans="1:45" ht="22.5" customHeight="1" hidden="1">
      <c r="A65" s="1163" t="s">
        <v>81</v>
      </c>
      <c s="1163">
        <v>0</v>
      </c>
      <c s="1163">
        <v>0</v>
      </c>
      <c s="1163">
        <v>0</v>
      </c>
      <c s="1163">
        <v>0</v>
      </c>
      <c s="1163">
        <v>0</v>
      </c>
      <c s="1163">
        <v>0</v>
      </c>
      <c s="1163">
        <v>0</v>
      </c>
      <c s="1163">
        <v>0</v>
      </c>
      <c s="1163">
        <v>0</v>
      </c>
      <c s="1163">
        <v>0</v>
      </c>
      <c s="1332">
        <v>0</v>
      </c>
      <c s="1365">
        <v>0</v>
      </c>
      <c s="1365">
        <v>0</v>
      </c>
      <c s="1365">
        <v>0</v>
      </c>
      <c s="1221">
        <v>3</v>
      </c>
      <c s="347">
        <v>3</v>
      </c>
      <c s="347">
        <v>3</v>
      </c>
      <c s="584">
        <v>12</v>
      </c>
      <c s="1158">
        <v>35</v>
      </c>
      <c s="1158">
        <v>0</v>
      </c>
      <c s="1158">
        <v>0</v>
      </c>
      <c s="1158">
        <v>0</v>
      </c>
      <c s="1158">
        <v>0</v>
      </c>
      <c s="1158">
        <v>0</v>
      </c>
      <c s="1158">
        <v>0</v>
      </c>
      <c s="1158">
        <v>0</v>
      </c>
      <c s="1158">
        <v>0</v>
      </c>
      <c s="1158">
        <v>0</v>
      </c>
      <c s="1158">
        <v>24</v>
      </c>
      <c s="1158">
        <v>0</v>
      </c>
      <c s="1158">
        <v>24</v>
      </c>
      <c s="1158">
        <v>24</v>
      </c>
      <c s="1158">
        <v>11</v>
      </c>
      <c s="1158">
        <v>3</v>
      </c>
      <c s="1158">
        <v>11</v>
      </c>
      <c s="1158">
        <v>0</v>
      </c>
      <c s="1158">
        <v>4</v>
      </c>
      <c s="1158">
        <v>115</v>
      </c>
      <c s="514">
        <v>10</v>
      </c>
      <c s="514">
        <v>10</v>
      </c>
      <c s="514">
        <v>10</v>
      </c>
      <c s="514">
        <v>10</v>
      </c>
      <c s="514">
        <v>10</v>
      </c>
      <c s="1158">
        <v>23</v>
      </c>
    </row>
  </sheetData>
  <sheetProtection formatColumns="0" formatRows="0" insertRows="0" deleteColumns="0" deleteRows="0" sort="0" autoFilter="0"/>
  <mergeCells count="112">
    <mergeCell ref="V7:AC7"/>
    <mergeCell ref="AD7:AL7"/>
    <mergeCell ref="S34:T34"/>
    <mergeCell ref="V34:AB34"/>
    <mergeCell ref="AD34:AJ34"/>
    <mergeCell ref="S35:T35"/>
    <mergeCell ref="V35:AB35"/>
    <mergeCell ref="AD35:AJ35"/>
    <mergeCell ref="V2:AC2"/>
    <mergeCell ref="AD2:AL2"/>
    <mergeCell ref="V3:AC3"/>
    <mergeCell ref="AD3:AL3"/>
    <mergeCell ref="V4:AC4"/>
    <mergeCell ref="AD4:AL4"/>
    <mergeCell ref="V5:AC5"/>
    <mergeCell ref="AD5:AL5"/>
    <mergeCell ref="V6:AC6"/>
    <mergeCell ref="AD6:AL6"/>
    <mergeCell ref="AI17:AI18"/>
    <mergeCell ref="AJ17:AJ18"/>
    <mergeCell ref="AK17:AK18"/>
    <mergeCell ref="AK8:AK9"/>
    <mergeCell ref="AD29:AJ29"/>
    <mergeCell ref="AD30:AJ30"/>
    <mergeCell ref="T62:AM62"/>
    <mergeCell ref="T63:AM63"/>
    <mergeCell ref="T64:AM64"/>
    <mergeCell ref="E2:E15"/>
    <mergeCell ref="F3:F14"/>
    <mergeCell ref="G4:G13"/>
    <mergeCell ref="H5:H12"/>
    <mergeCell ref="I6:I11"/>
    <mergeCell ref="J7:J10"/>
    <mergeCell ref="I47:I52"/>
    <mergeCell ref="J48:J51"/>
    <mergeCell ref="K49:K50"/>
    <mergeCell ref="P47:P52"/>
    <mergeCell ref="Q48:Q51"/>
    <mergeCell ref="AH49:AH50"/>
    <mergeCell ref="AI49:AI50"/>
    <mergeCell ref="AJ49:AJ50"/>
    <mergeCell ref="AK49:AK50"/>
    <mergeCell ref="T59:AM59"/>
    <mergeCell ref="W40:W41"/>
    <mergeCell ref="T60:AM60"/>
    <mergeCell ref="Z49:Z50"/>
    <mergeCell ref="AA49:AA50"/>
    <mergeCell ref="AB49:AB50"/>
    <mergeCell ref="Z40:AB40"/>
    <mergeCell ref="AA41:AB41"/>
    <mergeCell ref="AA42:AB42"/>
    <mergeCell ref="V37:AC37"/>
    <mergeCell ref="S38:AL38"/>
    <mergeCell ref="AM38:AM41"/>
    <mergeCell ref="S39:S41"/>
    <mergeCell ref="T39:T41"/>
    <mergeCell ref="V39:AB39"/>
    <mergeCell ref="AC39:AC41"/>
    <mergeCell ref="AL39:AL41"/>
    <mergeCell ref="AI42:AJ42"/>
    <mergeCell ref="AD39:AJ39"/>
    <mergeCell ref="AK39:AK41"/>
    <mergeCell ref="AD40:AD41"/>
    <mergeCell ref="AE40:AE41"/>
    <mergeCell ref="AF40:AG40"/>
    <mergeCell ref="AH40:AJ40"/>
    <mergeCell ref="AI41:AJ41"/>
    <mergeCell ref="AC49:AC50"/>
    <mergeCell ref="AM49:AM51"/>
    <mergeCell ref="AM8:AM10"/>
    <mergeCell ref="K8:K9"/>
    <mergeCell ref="P6:P11"/>
    <mergeCell ref="E43:E56"/>
    <mergeCell ref="F44:F55"/>
    <mergeCell ref="G45:G54"/>
    <mergeCell ref="H46:H53"/>
    <mergeCell ref="V40:V41"/>
    <mergeCell ref="X40:Y40"/>
    <mergeCell ref="V29:AB29"/>
    <mergeCell ref="V30:AB30"/>
    <mergeCell ref="V31:AB31"/>
    <mergeCell ref="V32:AB32"/>
    <mergeCell ref="Q7:Q10"/>
    <mergeCell ref="AH8:AH9"/>
    <mergeCell ref="AI8:AI9"/>
    <mergeCell ref="AJ8:AJ9"/>
    <mergeCell ref="Z8:Z9"/>
    <mergeCell ref="AA8:AA9"/>
    <mergeCell ref="AB8:AB9"/>
    <mergeCell ref="AC8:AC9"/>
    <mergeCell ref="AH17:AH18"/>
    <mergeCell ref="S26:AJ26"/>
    <mergeCell ref="S27:AJ27"/>
    <mergeCell ref="S29:T29"/>
    <mergeCell ref="S30:T30"/>
    <mergeCell ref="S31:T31"/>
    <mergeCell ref="S32:T32"/>
    <mergeCell ref="AD31:AJ31"/>
    <mergeCell ref="AD32:AJ32"/>
    <mergeCell ref="AD37:AK37"/>
    <mergeCell ref="V43:AC43"/>
    <mergeCell ref="V44:AC44"/>
    <mergeCell ref="V45:AC45"/>
    <mergeCell ref="V46:AC46"/>
    <mergeCell ref="V47:AC47"/>
    <mergeCell ref="V48:AC48"/>
    <mergeCell ref="AD43:AL43"/>
    <mergeCell ref="AD44:AL44"/>
    <mergeCell ref="AD45:AL45"/>
    <mergeCell ref="AD46:AL46"/>
    <mergeCell ref="AD47:AL47"/>
    <mergeCell ref="AD48:AL48"/>
  </mergeCells>
  <dataValidations count="8">
    <dataValidation allowBlank="1" sqref="S65587:AM65593 S131123:AM131129 S196659:AM196665 S262195:AM262201 S327731:AM327737 S393267:AM393273 S458803:AM458809 S524339:AM524345 S589875:AM589881 S655411:AM655417 S720947:AM720953 S786483:AM786489 S852019:AM852025 S917555:AM917561 S983091:AM983097"/>
    <dataValidation type="list" allowBlank="1" showInputMessage="1" prompt="Выберите значение из списка" errorTitle="Ошибка" error="Выберите значение из списка" sqref="V65584:AL65584 V983088:AL983088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promptTitle="checkPeriodRange" sqref="Y9 Y65586 Y131122 Y196658 Y262194 Y327730 Y393266 Y458802 Y524338 Y589874 Y655410 Y720946 Y786482 Y852018 Y917554 Y983090 AG65586 AG131122 AG196658 AG262194 AG327730 AG393266 AG458802 AG524338 AG589874 AG655410 AG720946 AG786482 AG852018 AG917554 AG983090 AG9 Y50 AG18 AG50"/>
    <dataValidation type="list" allowBlank="1" showInputMessage="1" showErrorMessage="1" errorTitle="Ошибка" error="Выберите значение из списка" sqref="V65583:W65583 V983087:W983087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8 Z65585 Z131121 Z196657 Z262193 Z327729 Z393265 Z458801 Z524337 Z589873 Z655409 Z720945 Z786481 Z852017 Z917553 Z983089 AB65585 AB131121 AB196657 AB262193 AB327729 AB393265 AB458801 AB524337 AB589873 AB655409 AB720945 AB786481 AB852017 AB917553 AB983089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8 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I17 AK196657 AA49 AC49 AK262193"/>
  </dataValidations>
  <pageMargins left="0.7" right="0.7" top="0.75" bottom="0.75" header="0.3" footer="0.3"/>
  <pageSetup orientation="portrait" paperSize="9"/>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m="http://schemas.microsoft.com/office/excel/2006/main" xmlns:x14ac="http://schemas.microsoft.com/office/spreadsheetml/2009/9/ac" xmlns:xr="http://schemas.microsoft.com/office/spreadsheetml/2014/revision" xmlns:xr2="http://schemas.microsoft.com/office/spreadsheetml/2015/revision2" xmlns:xr3="http://schemas.microsoft.com/office/spreadsheetml/2016/revision3" xr:uid="{50C41F79-7E25-CA54-58BB-9CACBCAAB6B1}" mc:Ignorable="x14ac xr xr2 xr3">
  <sheetPr>
    <tabColor theme="6" tint="0.400000005960464"/>
  </sheetPr>
  <dimension ref="A1:AS65"/>
  <sheetViews>
    <sheetView showGridLines="0" zoomScale="90" zoomScaleNormal="90" workbookViewId="0" topLeftCell="A1">
      <pane xSplit="29" ySplit="42" topLeftCell="AD43" activePane="bottomRight" state="frozen"/>
      <selection pane="topLeft" activeCell="A1" sqref="A1"/>
      <selection pane="bottomLeft" activeCell="A43" sqref="A43"/>
      <selection pane="topRight" activeCell="AD1" sqref="AD1"/>
      <selection pane="bottomRight" activeCell="A1" sqref="A1"/>
    </sheetView>
  </sheetViews>
  <sheetFormatPr defaultColWidth="10.5742857142857" defaultRowHeight="14.25" customHeight="1"/>
  <cols>
    <col min="1" max="1" width="10.5714285714286" style="1369" hidden="1"/>
    <col min="2" max="2" width="11" style="1369" hidden="1" customWidth="1"/>
    <col min="3" max="3" width="10.5714285714286" style="1369" hidden="1"/>
    <col min="4" max="4" width="11.8571428571429" style="1369" hidden="1" customWidth="1"/>
    <col min="5" max="5" width="10" style="1369" hidden="1" customWidth="1"/>
    <col min="6" max="6" width="8.71428571428571" style="1369" hidden="1" customWidth="1"/>
    <col min="7" max="7" width="7.57142857142857" style="1369" hidden="1" customWidth="1"/>
    <col min="8" max="8" width="11.4285714285714" style="1369" hidden="1" customWidth="1"/>
    <col min="9" max="9" width="12" style="1369" hidden="1" customWidth="1"/>
    <col min="10" max="10" width="9.85714285714286" style="1369" hidden="1" customWidth="1"/>
    <col min="11" max="11" width="11.4285714285714" style="1369" hidden="1" customWidth="1"/>
    <col min="12" max="12" width="19.1428571428571" style="2610" hidden="1" customWidth="1"/>
    <col min="13" max="14" width="12.2857142857143" style="1779" hidden="1" customWidth="1"/>
    <col min="15" max="15" width="23.4285714285714" style="1779" hidden="1" customWidth="1"/>
    <col min="16" max="16" width="3" style="2400" customWidth="1"/>
    <col min="17" max="18" width="3" style="347" customWidth="1"/>
    <col min="19" max="19" width="12" style="2410" customWidth="1"/>
    <col min="20" max="20" width="31" style="1638" customWidth="1"/>
    <col min="21" max="21" width="0.142857142857143" style="1638" customWidth="1"/>
    <col min="22" max="22" width="24.7142857142857" style="1638" hidden="1" customWidth="1"/>
    <col min="23" max="23" width="0.142857142857143" style="1638" hidden="1" customWidth="1"/>
    <col min="24" max="25" width="24.7142857142857" style="1638" hidden="1" customWidth="1"/>
    <col min="26" max="26" width="11.7142857142857" style="1638" hidden="1" customWidth="1"/>
    <col min="27" max="27" width="3.71428571428571" style="1638" hidden="1" customWidth="1"/>
    <col min="28" max="28" width="11.7142857142857" style="1638" hidden="1" customWidth="1"/>
    <col min="29" max="29" width="8.57142857142857" style="1638" hidden="1" customWidth="1"/>
    <col min="30" max="30" width="24.7142857142857" style="1638" customWidth="1"/>
    <col min="31" max="31" width="0.142857142857143" style="1638" customWidth="1"/>
    <col min="32" max="33" width="24" style="1638" customWidth="1"/>
    <col min="34" max="34" width="11" style="1638" customWidth="1"/>
    <col min="35" max="35" width="3.71428571428571" style="1638" customWidth="1"/>
    <col min="36" max="36" width="11" style="1638" customWidth="1"/>
    <col min="37" max="37" width="8.57142857142857" style="1638" hidden="1" customWidth="1"/>
    <col min="38" max="38" width="4" style="1638" customWidth="1"/>
    <col min="39" max="39" width="115" style="1638" customWidth="1"/>
    <col min="40" max="44" width="10" style="1645" customWidth="1"/>
    <col min="45" max="45" width="10.5714285714286" style="1638" hidden="1"/>
  </cols>
  <sheetData>
    <row r="1" spans="25:45" ht="22.5" customHeight="1" hidden="1">
      <c r="Y1" s="330"/>
      <c s="330"/>
      <c r="AG1" s="330"/>
      <c s="330"/>
      <c r="AS1" s="1158" t="s">
        <v>14</v>
      </c>
    </row>
    <row r="2" spans="1:45" ht="21" customHeight="1" hidden="1">
      <c r="A2" s="1366"/>
      <c s="1366"/>
      <c s="1366"/>
      <c s="1366"/>
      <c s="2261">
        <v>1</v>
      </c>
      <c s="1366"/>
      <c s="1366"/>
      <c s="1366"/>
      <c s="1366"/>
      <c s="1366"/>
      <c s="1366"/>
      <c s="1367"/>
      <c s="1368"/>
      <c s="1368"/>
      <c s="1368"/>
      <c s="364"/>
      <c s="363"/>
      <c s="358"/>
      <c s="1339">
        <f>INDEX(PT_DIFFERENTIATION_NUM_NTAR,MATCH(A2,PT_DIFFERENTIATION_NTAR_ID,0))</f>
      </c>
      <c s="301" t="s">
        <v>125</v>
      </c>
      <c s="303"/>
      <c s="2245"/>
      <c s="2246"/>
      <c s="2246"/>
      <c s="2246"/>
      <c s="2246"/>
      <c s="2246"/>
      <c s="2246"/>
      <c s="2247"/>
      <c s="2245">
        <f>INDEX(PT_DIFFERENTIATION_NTAR,MATCH(A2,PT_DIFFERENTIATION_NTAR_ID,0))</f>
      </c>
      <c s="2246"/>
      <c s="2246"/>
      <c s="2246"/>
      <c s="2246"/>
      <c s="2246"/>
      <c s="2246"/>
      <c s="2246"/>
      <c s="2247"/>
      <c s="1261" t="s">
        <v>396</v>
      </c>
      <c r="AO2" s="503"/>
      <c s="503" t="str">
        <f>IF(T2="","",T2)</f>
        <v>Наименование тарифа</v>
      </c>
      <c s="503"/>
      <c s="503"/>
      <c s="1158">
        <v>0</v>
      </c>
    </row>
    <row r="3" spans="1:45" ht="21" customHeight="1" hidden="1">
      <c r="A3" s="1366"/>
      <c s="1366"/>
      <c s="1366"/>
      <c s="1366"/>
      <c s="2262"/>
      <c s="2261">
        <v>1</v>
      </c>
      <c s="1366"/>
      <c s="1366"/>
      <c s="1366"/>
      <c s="1366"/>
      <c s="1366"/>
      <c s="1367"/>
      <c s="1368"/>
      <c s="1368"/>
      <c s="1368"/>
      <c s="1335"/>
      <c s="355"/>
      <c s="356"/>
      <c s="1339">
        <f>INDEX(PT_DIFFERENTIATION_NUM_TER,MATCH(B3,PT_DIFFERENTIATION_TER_ID,0))</f>
      </c>
      <c s="311" t="s">
        <v>397</v>
      </c>
      <c s="303"/>
      <c s="2245"/>
      <c s="2246"/>
      <c s="2246"/>
      <c s="2246"/>
      <c s="2246"/>
      <c s="2246"/>
      <c s="2246"/>
      <c s="2247"/>
      <c s="2245">
        <f>INDEX(PT_DIFFERENTIATION_TER,MATCH(B3,PT_DIFFERENTIATION_TER_ID,0))</f>
      </c>
      <c s="2246"/>
      <c s="2246"/>
      <c s="2246"/>
      <c s="2246"/>
      <c s="2246"/>
      <c s="2246"/>
      <c s="2246"/>
      <c s="2247"/>
      <c s="1261" t="s">
        <v>398</v>
      </c>
      <c r="AO3" s="503"/>
      <c s="503" t="str">
        <f>IF(T3="","",T3)</f>
        <v>Территория действия тарифа</v>
      </c>
      <c s="503"/>
      <c s="503"/>
      <c s="1158">
        <v>0</v>
      </c>
    </row>
    <row r="4" spans="1:45" ht="23.25" customHeight="1" hidden="1">
      <c r="A4" s="1366"/>
      <c s="1366"/>
      <c s="1366"/>
      <c s="1366"/>
      <c s="2262"/>
      <c s="2262"/>
      <c s="2261">
        <v>1</v>
      </c>
      <c s="1366"/>
      <c s="1366"/>
      <c s="1366"/>
      <c s="1366"/>
      <c s="1367"/>
      <c s="1368"/>
      <c s="1368"/>
      <c s="1368"/>
      <c s="357"/>
      <c s="355"/>
      <c s="356"/>
      <c s="1339">
        <f>INDEX(PT_DIFFERENTIATION_NUM_CS,MATCH(C4,PT_DIFFERENTIATION_CS_ID,0))</f>
      </c>
      <c s="312" t="s">
        <v>399</v>
      </c>
      <c s="303"/>
      <c s="2245"/>
      <c s="2246"/>
      <c s="2246"/>
      <c s="2246"/>
      <c s="2246"/>
      <c s="2246"/>
      <c s="2246"/>
      <c s="2247"/>
      <c s="2245">
        <f>INDEX(PT_DIFFERENTIATION_CS,MATCH(C4,PT_DIFFERENTIATION_CS_ID,0))</f>
      </c>
      <c s="2246"/>
      <c s="2246"/>
      <c s="2246"/>
      <c s="2246"/>
      <c s="2246"/>
      <c s="2246"/>
      <c s="2246"/>
      <c s="2247"/>
      <c s="1261" t="s">
        <v>400</v>
      </c>
      <c r="AO4" s="503"/>
      <c s="503" t="str">
        <f>IF(T4="","",T4)</f>
        <v>Наименование системы теплоснабжения</v>
      </c>
      <c s="503"/>
      <c s="503"/>
      <c s="1158">
        <v>0</v>
      </c>
    </row>
    <row r="5" spans="1:45" ht="21" customHeight="1" hidden="1">
      <c r="A5" s="1366"/>
      <c s="1366"/>
      <c s="1366"/>
      <c s="1366"/>
      <c s="2262"/>
      <c s="2262"/>
      <c s="2262"/>
      <c s="2261">
        <v>1</v>
      </c>
      <c s="1366"/>
      <c s="1366"/>
      <c s="1366"/>
      <c s="1367"/>
      <c s="1368"/>
      <c s="1368"/>
      <c s="1368"/>
      <c s="357"/>
      <c s="355"/>
      <c s="356"/>
      <c s="1339">
        <f>INDEX(PT_DIFFERENTIATION_NUM_IST_TE,MATCH(D5,PT_DIFFERENTIATION_IST_TE_ID,0))</f>
      </c>
      <c s="313" t="s">
        <v>401</v>
      </c>
      <c s="303"/>
      <c s="2245"/>
      <c s="2246"/>
      <c s="2246"/>
      <c s="2246"/>
      <c s="2246"/>
      <c s="2246"/>
      <c s="2246"/>
      <c s="2247"/>
      <c s="2245">
        <f>INDEX(PT_DIFFERENTIATION_IST_TE,MATCH(D5,PT_DIFFERENTIATION_IST_TE_ID,0))</f>
      </c>
      <c s="2246"/>
      <c s="2246"/>
      <c s="2246"/>
      <c s="2246"/>
      <c s="2246"/>
      <c s="2246"/>
      <c s="2246"/>
      <c s="2247"/>
      <c s="1261" t="s">
        <v>402</v>
      </c>
      <c r="AO5" s="503"/>
      <c s="503" t="str">
        <f>IF(T5="","",T5)</f>
        <v>Источник тепловой энергии</v>
      </c>
      <c s="503"/>
      <c s="503"/>
      <c s="1158">
        <v>0</v>
      </c>
    </row>
    <row r="6" spans="1:45" ht="47.25" customHeight="1" hidden="1">
      <c r="A6" s="1366"/>
      <c s="1366"/>
      <c s="1366"/>
      <c s="1366"/>
      <c s="2262"/>
      <c s="2262"/>
      <c s="2262"/>
      <c s="2262"/>
      <c s="2259">
        <f>S5&amp;".1"</f>
      </c>
      <c s="1366"/>
      <c s="1366"/>
      <c s="1367" t="s">
        <v>403</v>
      </c>
      <c s="540"/>
      <c r="P6" s="2260">
        <v>1</v>
      </c>
      <c s="1334"/>
      <c s="359"/>
      <c s="1339">
        <f>$I6</f>
      </c>
      <c s="288" t="s">
        <v>404</v>
      </c>
      <c s="303"/>
      <c s="2248"/>
      <c s="2249"/>
      <c s="2249"/>
      <c s="2249"/>
      <c s="2249"/>
      <c s="2249"/>
      <c s="2249"/>
      <c s="2250"/>
      <c s="2248"/>
      <c s="2249"/>
      <c s="2249"/>
      <c s="2249"/>
      <c s="2249"/>
      <c s="2249"/>
      <c s="2249"/>
      <c s="2249"/>
      <c s="2250"/>
      <c s="1261" t="s">
        <v>405</v>
      </c>
      <c r="AO6" s="503"/>
      <c s="503" t="str">
        <f>IF(T6="","",T6)</f>
        <v>Схема подключения теплопотребляющей установки к коллектору источника тепловой энергии</v>
      </c>
      <c s="503"/>
      <c s="503"/>
      <c s="1158">
        <v>0</v>
      </c>
    </row>
    <row r="7" spans="1:45" ht="21" customHeight="1" hidden="1">
      <c r="A7" s="1366"/>
      <c s="1366"/>
      <c s="1366"/>
      <c s="1366"/>
      <c s="2262"/>
      <c s="2262"/>
      <c s="2262"/>
      <c s="2262"/>
      <c s="2289"/>
      <c s="2259">
        <f>I6&amp;".1"</f>
      </c>
      <c s="1366"/>
      <c s="1367" t="s">
        <v>406</v>
      </c>
      <c s="540"/>
      <c s="1369"/>
      <c r="P7" s="2260"/>
      <c s="2260">
        <v>1</v>
      </c>
      <c s="360"/>
      <c s="1339">
        <f>$J7</f>
      </c>
      <c s="289" t="s">
        <v>407</v>
      </c>
      <c s="303"/>
      <c s="2248"/>
      <c s="2249"/>
      <c s="2249"/>
      <c s="2249"/>
      <c s="2249"/>
      <c s="2249"/>
      <c s="2249"/>
      <c s="2250"/>
      <c s="2248"/>
      <c s="2249"/>
      <c s="2249"/>
      <c s="2249"/>
      <c s="2249"/>
      <c s="2249"/>
      <c s="2249"/>
      <c s="2249"/>
      <c s="2250"/>
      <c s="1261" t="s">
        <v>408</v>
      </c>
      <c r="AO7" s="503"/>
      <c s="503" t="str">
        <f>IF(T7="","",T7)</f>
        <v>Группа потребителей</v>
      </c>
      <c s="503"/>
      <c s="503"/>
      <c s="1158">
        <v>0</v>
      </c>
    </row>
    <row r="8" spans="1:45" ht="21" customHeight="1" hidden="1">
      <c r="A8" s="1366"/>
      <c s="1366"/>
      <c s="1366"/>
      <c s="1366"/>
      <c s="2262"/>
      <c s="2262"/>
      <c s="2262"/>
      <c s="2262"/>
      <c s="2289"/>
      <c s="2289"/>
      <c s="2259">
        <f>J7&amp;".1"</f>
      </c>
      <c s="1367" t="s">
        <v>409</v>
      </c>
      <c s="540"/>
      <c s="1369"/>
      <c s="1369"/>
      <c s="2260"/>
      <c s="2260"/>
      <c s="360">
        <v>1</v>
      </c>
      <c s="1339">
        <f>$K8</f>
      </c>
      <c s="1350"/>
      <c s="303"/>
      <c s="754"/>
      <c s="328"/>
      <c s="754"/>
      <c s="1260"/>
      <c s="2268"/>
      <c s="2110" t="s">
        <v>65</v>
      </c>
      <c s="2268"/>
      <c s="2110" t="s">
        <v>65</v>
      </c>
      <c s="754"/>
      <c s="328"/>
      <c s="754"/>
      <c s="1260"/>
      <c s="2268"/>
      <c s="2110" t="s">
        <v>65</v>
      </c>
      <c s="2268"/>
      <c s="2110" t="s">
        <v>65</v>
      </c>
      <c s="328"/>
      <c s="2256" t="s">
        <v>410</v>
      </c>
      <c s="514">
        <f>STRCHECKDATE(V9:AL9)</f>
      </c>
      <c s="503"/>
      <c s="503" t="str">
        <f>IF(T8="","",T8)</f>
        <v/>
      </c>
      <c s="503"/>
      <c s="503"/>
      <c s="1158">
        <v>0</v>
      </c>
    </row>
    <row r="9" spans="1:45" ht="0.75" customHeight="1" hidden="1">
      <c r="A9" s="1366"/>
      <c s="1366"/>
      <c s="1366"/>
      <c s="1366"/>
      <c s="2262"/>
      <c s="2262"/>
      <c s="2262"/>
      <c s="2262"/>
      <c s="2289"/>
      <c s="2289"/>
      <c s="2259"/>
      <c s="1367"/>
      <c s="540"/>
      <c s="1369"/>
      <c s="1369"/>
      <c s="2260"/>
      <c s="2260"/>
      <c s="360"/>
      <c s="1345"/>
      <c s="303"/>
      <c s="303"/>
      <c s="328"/>
      <c s="328"/>
      <c s="328"/>
      <c s="331" t="str">
        <f>Z8&amp;"-"&amp;AB8</f>
        <v>-</v>
      </c>
      <c s="2269"/>
      <c s="2110"/>
      <c s="2269"/>
      <c s="2110"/>
      <c s="328"/>
      <c s="328"/>
      <c s="328"/>
      <c s="331" t="str">
        <f>AH8&amp;"-"&amp;AJ8</f>
        <v>-</v>
      </c>
      <c s="2269"/>
      <c s="2110"/>
      <c s="2269"/>
      <c s="2110"/>
      <c s="328"/>
      <c s="2257"/>
      <c r="AO9" s="503"/>
      <c s="503" t="str">
        <f>IF(T9="","",T9)</f>
        <v/>
      </c>
      <c s="503"/>
      <c s="503"/>
      <c s="1158">
        <v>0</v>
      </c>
    </row>
    <row r="10" spans="1:45" ht="15" customHeight="1" hidden="1">
      <c r="A10" s="1366"/>
      <c s="1366"/>
      <c s="1366"/>
      <c s="1366"/>
      <c s="2262"/>
      <c s="2262"/>
      <c s="2262"/>
      <c s="2262"/>
      <c s="2289"/>
      <c s="2259"/>
      <c s="1366"/>
      <c s="1367"/>
      <c s="540"/>
      <c s="1369"/>
      <c r="P10" s="2260"/>
      <c s="2260"/>
      <c s="359"/>
      <c s="1281"/>
      <c s="291" t="s">
        <v>411</v>
      </c>
      <c s="370"/>
      <c s="370"/>
      <c s="370"/>
      <c s="370"/>
      <c s="370"/>
      <c s="370"/>
      <c s="370"/>
      <c s="370"/>
      <c s="370"/>
      <c s="370"/>
      <c s="370"/>
      <c s="370"/>
      <c s="370"/>
      <c s="370"/>
      <c s="370"/>
      <c s="370"/>
      <c s="370"/>
      <c s="327"/>
      <c s="2258"/>
      <c r="AO10" s="503"/>
      <c s="503" t="str">
        <f>IF(T10="","",T10)</f>
        <v>Добавить вид теплоносителя (параметры теплоносителя)</v>
      </c>
      <c s="503"/>
      <c s="503"/>
      <c s="1158">
        <v>0</v>
      </c>
    </row>
    <row r="11" spans="1:45" ht="15" customHeight="1" hidden="1">
      <c r="A11" s="1366"/>
      <c s="1366"/>
      <c s="1366"/>
      <c s="1366"/>
      <c s="2262"/>
      <c s="2262"/>
      <c s="2262"/>
      <c s="2262"/>
      <c s="2259"/>
      <c s="1366"/>
      <c s="1366"/>
      <c s="1367"/>
      <c s="540"/>
      <c r="P11" s="2260"/>
      <c s="1334"/>
      <c s="359"/>
      <c s="1281"/>
      <c s="290" t="s">
        <v>412</v>
      </c>
      <c s="370"/>
      <c s="370"/>
      <c s="370"/>
      <c s="370"/>
      <c s="370"/>
      <c s="370"/>
      <c s="370"/>
      <c s="370"/>
      <c s="369"/>
      <c s="370"/>
      <c s="370"/>
      <c s="370"/>
      <c s="370"/>
      <c s="370"/>
      <c s="370"/>
      <c s="370"/>
      <c s="369"/>
      <c s="370"/>
      <c s="306"/>
      <c r="AO11" s="503"/>
      <c s="503" t="str">
        <f>IF(T11="","",T11)</f>
        <v>Добавить группу потребителей</v>
      </c>
      <c s="503"/>
      <c s="503"/>
      <c s="1158">
        <v>0</v>
      </c>
    </row>
    <row r="12" spans="1:45" ht="14.25" customHeight="1" hidden="1">
      <c r="A12" s="1366"/>
      <c s="1366"/>
      <c s="1366"/>
      <c s="1366"/>
      <c s="2262"/>
      <c s="2262"/>
      <c s="2262"/>
      <c s="2261"/>
      <c s="1366"/>
      <c s="1366"/>
      <c s="1366"/>
      <c s="1367"/>
      <c s="1368"/>
      <c s="1368"/>
      <c s="540"/>
      <c s="363"/>
      <c s="378"/>
      <c s="358"/>
      <c s="1281"/>
      <c s="368" t="s">
        <v>413</v>
      </c>
      <c s="370"/>
      <c s="370"/>
      <c s="370"/>
      <c s="370"/>
      <c s="370"/>
      <c s="370"/>
      <c s="370"/>
      <c s="370"/>
      <c s="369"/>
      <c s="370"/>
      <c s="370"/>
      <c s="370"/>
      <c s="370"/>
      <c s="370"/>
      <c s="370"/>
      <c s="370"/>
      <c s="369"/>
      <c s="370"/>
      <c s="306"/>
      <c r="AO12" s="503"/>
      <c s="503" t="str">
        <f>IF(T12="","",T12)</f>
        <v>Добавить схему подключения</v>
      </c>
      <c s="503"/>
      <c s="503"/>
      <c s="1158">
        <v>0</v>
      </c>
    </row>
    <row r="13" spans="1:45" s="1645" customFormat="1" ht="0.75" customHeight="1" hidden="1">
      <c r="A13" s="1317"/>
      <c s="1317"/>
      <c s="1317"/>
      <c s="1317"/>
      <c s="2262"/>
      <c s="2262"/>
      <c s="2261"/>
      <c s="1317"/>
      <c s="1317"/>
      <c s="1317"/>
      <c s="1317"/>
      <c s="1342"/>
      <c s="1318"/>
      <c s="1318"/>
      <c r="P13" s="1319"/>
      <c s="1320"/>
      <c s="1319"/>
      <c s="1321"/>
      <c s="1322" t="s">
        <v>414</v>
      </c>
      <c s="1323"/>
      <c s="1323"/>
      <c s="1323"/>
      <c s="1323"/>
      <c s="1323"/>
      <c s="1323"/>
      <c s="1323"/>
      <c s="1323"/>
      <c s="1323"/>
      <c s="1323"/>
      <c s="1323"/>
      <c s="1323"/>
      <c s="1323"/>
      <c s="1323"/>
      <c s="1323"/>
      <c s="1323"/>
      <c s="1323"/>
      <c s="1323"/>
      <c s="1323"/>
      <c r="AO13" s="792"/>
      <c s="792" t="str">
        <f>IF(T13="","",T13)</f>
        <v>Добавить источник для дифференциации</v>
      </c>
      <c s="792"/>
      <c s="792"/>
      <c s="521">
        <v>0</v>
      </c>
    </row>
    <row r="14" spans="1:45" s="1645" customFormat="1" ht="0.75" customHeight="1" hidden="1">
      <c r="A14" s="1317"/>
      <c s="1317"/>
      <c s="1317"/>
      <c s="1317"/>
      <c s="2262"/>
      <c s="2261"/>
      <c s="1317"/>
      <c s="1317"/>
      <c s="1317"/>
      <c s="1317"/>
      <c s="1317"/>
      <c s="1342"/>
      <c s="1324"/>
      <c s="1324"/>
      <c r="P14" s="1319"/>
      <c s="1320"/>
      <c s="1319"/>
      <c s="1325"/>
      <c s="1326" t="s">
        <v>415</v>
      </c>
      <c s="1327"/>
      <c s="1327"/>
      <c s="1327"/>
      <c s="1327"/>
      <c s="1327"/>
      <c s="1327"/>
      <c s="1327"/>
      <c s="1327"/>
      <c s="1327"/>
      <c s="1327"/>
      <c s="1327"/>
      <c s="1327"/>
      <c s="1327"/>
      <c s="1327"/>
      <c s="1327"/>
      <c s="1327"/>
      <c s="1327"/>
      <c s="1327"/>
      <c s="1327"/>
      <c r="AO14" s="792"/>
      <c s="792" t="str">
        <f>IF(T14="","",T14)</f>
        <v>Добавить централизованную систему для дифференциации</v>
      </c>
      <c s="792"/>
      <c s="792"/>
      <c s="521">
        <v>0</v>
      </c>
    </row>
    <row r="15" spans="1:45" s="1645" customFormat="1" ht="0.75" customHeight="1" hidden="1">
      <c r="A15" s="1317"/>
      <c s="1317"/>
      <c s="1317"/>
      <c s="1317"/>
      <c s="2261"/>
      <c s="1317"/>
      <c s="1317"/>
      <c s="1317"/>
      <c s="1317"/>
      <c s="1317"/>
      <c s="1317"/>
      <c s="1342"/>
      <c s="1324"/>
      <c s="1324"/>
      <c r="P15" s="1319"/>
      <c s="1320"/>
      <c s="1319"/>
      <c s="1325"/>
      <c s="1328" t="s">
        <v>416</v>
      </c>
      <c s="1327"/>
      <c s="1327"/>
      <c s="1327"/>
      <c s="1327"/>
      <c s="1327"/>
      <c s="1327"/>
      <c s="1327"/>
      <c s="1327"/>
      <c s="1327"/>
      <c s="1327"/>
      <c s="1327"/>
      <c s="1327"/>
      <c s="1327"/>
      <c s="1327"/>
      <c s="1327"/>
      <c s="1327"/>
      <c s="1327"/>
      <c s="1327"/>
      <c s="1327"/>
      <c r="AO15" s="792"/>
      <c s="792" t="str">
        <f>IF(T15="","",T15)</f>
        <v>Добавить территорию для дифференциации</v>
      </c>
      <c s="792"/>
      <c s="792"/>
      <c s="521">
        <v>0</v>
      </c>
    </row>
    <row r="16" spans="29:45" ht="14.25" customHeight="1" hidden="1">
      <c r="AC16" s="330"/>
      <c r="AK16" s="330"/>
      <c r="AS16" s="1158">
        <v>0</v>
      </c>
    </row>
    <row r="17" spans="30:45" ht="14.25" customHeight="1" hidden="1">
      <c r="AD17" s="1363"/>
      <c s="1363"/>
      <c s="1363"/>
      <c s="1364"/>
      <c s="2270"/>
      <c s="2271" t="s">
        <v>65</v>
      </c>
      <c s="2270"/>
      <c s="2271" t="s">
        <v>65</v>
      </c>
      <c r="AS17" s="1158">
        <v>0</v>
      </c>
    </row>
    <row r="18" spans="30:45" ht="14.25" customHeight="1" hidden="1">
      <c r="AD18" s="1363"/>
      <c s="1363"/>
      <c s="1363"/>
      <c s="331" t="str">
        <f>AH17&amp;"-"&amp;AJ17</f>
        <v>-</v>
      </c>
      <c s="2271"/>
      <c s="2271"/>
      <c s="2271"/>
      <c s="2271"/>
      <c r="AS18" s="1158">
        <v>0</v>
      </c>
    </row>
    <row r="19" spans="37:45" ht="14.25" customHeight="1" hidden="1">
      <c r="AK19" s="330"/>
      <c r="AS19" s="1158">
        <v>0</v>
      </c>
    </row>
    <row r="20" spans="12:45" s="1369" customFormat="1" ht="22.5" customHeight="1" hidden="1">
      <c r="L20" s="1332"/>
      <c s="1365"/>
      <c s="1365"/>
      <c s="1370" t="s">
        <v>417</v>
      </c>
      <c s="1365"/>
      <c s="1374"/>
      <c s="1374"/>
      <c s="732"/>
      <c r="Z20" s="1370"/>
      <c r="AB20" s="1370"/>
      <c s="1369"/>
      <c r="AH20" s="1370"/>
      <c r="AJ20" s="1370"/>
      <c s="1369"/>
      <c r="AN20" s="514"/>
      <c s="514"/>
      <c s="514"/>
      <c s="514"/>
      <c s="514"/>
      <c s="1163">
        <v>0</v>
      </c>
    </row>
    <row r="21" spans="12:45" s="1369" customFormat="1" ht="14.25" customHeight="1" hidden="1">
      <c r="L21" s="1332"/>
      <c s="1365"/>
      <c s="1365"/>
      <c s="1365"/>
      <c s="1365"/>
      <c s="1374"/>
      <c s="1374"/>
      <c s="732"/>
      <c r="AC21" s="1369"/>
      <c r="AK21" s="1369"/>
      <c r="AN21" s="514"/>
      <c s="514"/>
      <c s="514"/>
      <c s="514"/>
      <c s="514"/>
      <c s="1163">
        <v>0</v>
      </c>
    </row>
    <row r="22" spans="12:45" s="1369" customFormat="1" ht="14.25" customHeight="1" hidden="1">
      <c r="L22" s="1332"/>
      <c s="1365"/>
      <c s="1365"/>
      <c s="1367" t="s">
        <v>418</v>
      </c>
      <c s="1365"/>
      <c s="1374"/>
      <c s="1374"/>
      <c s="732"/>
      <c s="1163" t="s">
        <v>419</v>
      </c>
      <c r="AA22" s="189" t="s">
        <v>420</v>
      </c>
      <c r="AC22" s="189" t="s">
        <v>421</v>
      </c>
      <c s="1163" t="s">
        <v>419</v>
      </c>
      <c r="AI22" s="189" t="s">
        <v>422</v>
      </c>
      <c r="AK22" s="189" t="s">
        <v>421</v>
      </c>
      <c r="AN22" s="514"/>
      <c s="514"/>
      <c s="514"/>
      <c s="514"/>
      <c s="514"/>
      <c s="1163">
        <v>0</v>
      </c>
    </row>
    <row r="23" spans="15:45" ht="14.25" customHeight="1" hidden="1">
      <c r="O23" s="1367"/>
      <c r="AS23" s="1158">
        <v>0</v>
      </c>
    </row>
    <row r="24" spans="15:45" ht="14.25" customHeight="1" hidden="1">
      <c r="O24" s="1367"/>
      <c r="AS24" s="1158">
        <v>0</v>
      </c>
    </row>
    <row r="25" spans="17:45" ht="14.7" customHeight="1">
      <c r="Q25" s="379"/>
      <c s="379"/>
      <c s="1278"/>
      <c s="366"/>
      <c s="366"/>
      <c s="512"/>
      <c s="512"/>
      <c s="512"/>
      <c s="512"/>
      <c s="512"/>
      <c s="512"/>
      <c s="512"/>
      <c s="512"/>
      <c s="512"/>
      <c s="512"/>
      <c s="512"/>
      <c s="512"/>
      <c s="512"/>
      <c s="512"/>
      <c s="512"/>
      <c s="512"/>
      <c r="AS25" s="1158">
        <v>14</v>
      </c>
    </row>
    <row r="26" spans="17:45" ht="14.7" customHeight="1">
      <c r="Q26" s="379"/>
      <c s="379"/>
      <c s="2251"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s="2251"/>
      <c s="2251"/>
      <c s="2251"/>
      <c s="2251"/>
      <c s="2251"/>
      <c s="2251"/>
      <c s="2251"/>
      <c s="2251"/>
      <c s="2251"/>
      <c s="2251"/>
      <c s="2251"/>
      <c s="2251"/>
      <c s="2251"/>
      <c s="2251"/>
      <c s="2251"/>
      <c s="2251"/>
      <c s="2251"/>
      <c s="1246"/>
      <c r="AS26" s="1158">
        <v>14</v>
      </c>
    </row>
    <row r="27" spans="17:45" ht="14.7" customHeight="1">
      <c r="Q27" s="379"/>
      <c s="379"/>
      <c s="2252" t="str">
        <f>IF(org=0,"Не определено",org)</f>
        <v>ГУП КК "Кубаньводкомплекс"</v>
      </c>
      <c s="2252"/>
      <c s="2252"/>
      <c s="2252"/>
      <c s="2252"/>
      <c s="2252"/>
      <c s="2252"/>
      <c s="2252"/>
      <c s="2252"/>
      <c s="2252"/>
      <c s="2252"/>
      <c s="2252"/>
      <c s="2252"/>
      <c s="2252"/>
      <c s="2252"/>
      <c s="2252"/>
      <c s="2252"/>
      <c s="2252"/>
      <c s="1246"/>
      <c r="AS27" s="1158">
        <v>14</v>
      </c>
    </row>
    <row r="28" spans="17:45" ht="14.25" customHeight="1" hidden="1">
      <c r="Q28" s="379"/>
      <c s="379"/>
      <c s="1278"/>
      <c s="366"/>
      <c s="366"/>
      <c s="325"/>
      <c s="325"/>
      <c s="325"/>
      <c s="325"/>
      <c s="325"/>
      <c s="325"/>
      <c s="325"/>
      <c s="325"/>
      <c s="325"/>
      <c s="325"/>
      <c s="325"/>
      <c s="325"/>
      <c s="325"/>
      <c s="325"/>
      <c s="325"/>
      <c s="325"/>
      <c s="512"/>
      <c r="AS28" s="1158">
        <v>0</v>
      </c>
    </row>
    <row r="29" spans="1:45" s="1856" customFormat="1" ht="25.5" customHeight="1" hidden="1">
      <c r="A29" s="1371"/>
      <c s="1371"/>
      <c s="1371"/>
      <c s="1371"/>
      <c s="1371"/>
      <c s="1371"/>
      <c s="1371"/>
      <c s="1371"/>
      <c s="1371"/>
      <c s="1371"/>
      <c s="1371"/>
      <c s="1372"/>
      <c s="1371"/>
      <c s="1371"/>
      <c s="1371"/>
      <c r="S29" s="2253" t="s">
        <v>42</v>
      </c>
      <c s="2253"/>
      <c s="1375"/>
      <c s="2254" t="str">
        <f>IF(TITLE_NAME_OR_PR_CHANGE="",IF(TITLE_NAME_OR_PR="","",TITLE_NAME_OR_PR),TITLE_NAME_OR_PR_CHANGE)</f>
        <v/>
      </c>
      <c s="2254"/>
      <c s="2254"/>
      <c s="2254"/>
      <c s="2254"/>
      <c s="2254"/>
      <c s="2254"/>
      <c s="329"/>
      <c s="2254" t="str">
        <f>IF(TITLE_NAME_OR_PR_CHANGE="",IF(TITLE_NAME_OR_PR="","",TITLE_NAME_OR_PR),TITLE_NAME_OR_PR_CHANGE)</f>
        <v/>
      </c>
      <c s="2254"/>
      <c s="2254"/>
      <c s="2254"/>
      <c s="2254"/>
      <c s="2254"/>
      <c s="2254"/>
      <c s="329"/>
      <c s="329"/>
      <c s="283"/>
      <c s="371"/>
      <c s="371"/>
      <c s="371"/>
      <c s="371"/>
      <c s="371"/>
      <c s="421">
        <v>0</v>
      </c>
    </row>
    <row r="30" spans="1:45" s="1856" customFormat="1" ht="18.75" customHeight="1" hidden="1">
      <c r="A30" s="1371"/>
      <c s="1371"/>
      <c s="1371"/>
      <c s="1371"/>
      <c s="1371"/>
      <c s="1371"/>
      <c s="1371"/>
      <c s="1371"/>
      <c s="1371"/>
      <c s="1371"/>
      <c s="1371"/>
      <c s="1372"/>
      <c s="1371"/>
      <c s="1371"/>
      <c s="1371"/>
      <c r="S30" s="2253" t="s">
        <v>423</v>
      </c>
      <c s="2253"/>
      <c s="1375"/>
      <c s="2267" t="str">
        <f>IF(TITLE_DATE_PR_CHANGE="",IF(TITLE_DATE_PR="","",TITLE_DATE_PR),TITLE_DATE_PR_CHANGE)</f>
        <v/>
      </c>
      <c s="2267"/>
      <c s="2267"/>
      <c s="2267"/>
      <c s="2267"/>
      <c s="2267"/>
      <c s="2267"/>
      <c s="329"/>
      <c s="2267" t="str">
        <f>IF(TITLE_DATE_PR_CHANGE="",IF(TITLE_DATE_PR="","",TITLE_DATE_PR),TITLE_DATE_PR_CHANGE)</f>
        <v/>
      </c>
      <c s="2267"/>
      <c s="2267"/>
      <c s="2267"/>
      <c s="2267"/>
      <c s="2267"/>
      <c s="2267"/>
      <c s="329"/>
      <c s="329"/>
      <c s="283"/>
      <c s="371"/>
      <c s="371"/>
      <c s="371"/>
      <c s="371"/>
      <c s="371"/>
      <c s="421">
        <v>0</v>
      </c>
    </row>
    <row r="31" spans="1:45" s="1856" customFormat="1" ht="18.75" customHeight="1" hidden="1">
      <c r="A31" s="1371"/>
      <c s="1371"/>
      <c s="1371"/>
      <c s="1371"/>
      <c s="1371"/>
      <c s="1371"/>
      <c s="1371"/>
      <c s="1371"/>
      <c s="1371"/>
      <c s="1371"/>
      <c s="1371"/>
      <c s="1372"/>
      <c s="1371"/>
      <c s="1371"/>
      <c s="1371"/>
      <c r="S31" s="2253" t="s">
        <v>424</v>
      </c>
      <c s="2253"/>
      <c s="1375"/>
      <c s="2254" t="str">
        <f>IF(TITLE_NUMBER_PR_CHANGE="",IF(TITLE_NUMBER_PR="","",TITLE_NUMBER_PR),TITLE_NUMBER_PR_CHANGE)</f>
        <v/>
      </c>
      <c s="2254"/>
      <c s="2254"/>
      <c s="2254"/>
      <c s="2254"/>
      <c s="2254"/>
      <c s="2254"/>
      <c s="329"/>
      <c s="2254" t="str">
        <f>IF(TITLE_NUMBER_PR_CHANGE="",IF(TITLE_NUMBER_PR="","",TITLE_NUMBER_PR),TITLE_NUMBER_PR_CHANGE)</f>
        <v/>
      </c>
      <c s="2254"/>
      <c s="2254"/>
      <c s="2254"/>
      <c s="2254"/>
      <c s="2254"/>
      <c s="2254"/>
      <c s="329"/>
      <c s="329"/>
      <c s="283"/>
      <c s="371"/>
      <c s="371"/>
      <c s="371"/>
      <c s="371"/>
      <c s="371"/>
      <c s="421">
        <v>0</v>
      </c>
    </row>
    <row r="32" spans="1:45" s="1856" customFormat="1" ht="18.75" customHeight="1" hidden="1">
      <c r="A32" s="1371"/>
      <c s="1371"/>
      <c s="1371"/>
      <c s="1371"/>
      <c s="1371"/>
      <c s="1371"/>
      <c s="1371"/>
      <c s="1371"/>
      <c s="1371"/>
      <c s="1371"/>
      <c s="1371"/>
      <c s="1372"/>
      <c s="1371"/>
      <c s="1371"/>
      <c s="1371"/>
      <c r="S32" s="2253" t="s">
        <v>43</v>
      </c>
      <c s="2253"/>
      <c s="1375"/>
      <c s="2254" t="str">
        <f>IF(TITLE_IST_PUB_CHANGE="",IF(TITLE_IST_PUB="","",TITLE_IST_PUB),TITLE_IST_PUB_CHANGE)</f>
        <v/>
      </c>
      <c s="2254"/>
      <c s="2254"/>
      <c s="2254"/>
      <c s="2254"/>
      <c s="2254"/>
      <c s="2254"/>
      <c s="329"/>
      <c s="2254" t="str">
        <f>IF(TITLE_IST_PUB_CHANGE="",IF(TITLE_IST_PUB="","",TITLE_IST_PUB),TITLE_IST_PUB_CHANGE)</f>
        <v/>
      </c>
      <c s="2254"/>
      <c s="2254"/>
      <c s="2254"/>
      <c s="2254"/>
      <c s="2254"/>
      <c s="2254"/>
      <c s="329"/>
      <c s="329"/>
      <c s="283"/>
      <c s="371"/>
      <c s="371"/>
      <c s="371"/>
      <c s="371"/>
      <c s="371"/>
      <c s="421">
        <v>0</v>
      </c>
    </row>
    <row r="33" spans="17:45" ht="14.25" customHeight="1" hidden="1">
      <c r="Q33" s="379"/>
      <c s="379"/>
      <c s="1278"/>
      <c s="366"/>
      <c s="366"/>
      <c s="325"/>
      <c s="325"/>
      <c s="325"/>
      <c s="325"/>
      <c s="325"/>
      <c s="325"/>
      <c s="325"/>
      <c s="325"/>
      <c s="325"/>
      <c s="325"/>
      <c s="325"/>
      <c s="325"/>
      <c s="325"/>
      <c s="325"/>
      <c s="325"/>
      <c s="325"/>
      <c s="512"/>
      <c r="AS33" s="1158">
        <v>0</v>
      </c>
    </row>
    <row r="34" spans="1:45" s="1856" customFormat="1" ht="18.75" customHeight="1" hidden="1">
      <c r="A34" s="1371"/>
      <c s="1371"/>
      <c s="1371"/>
      <c s="1371"/>
      <c s="1371"/>
      <c s="1371"/>
      <c s="1371"/>
      <c s="1371"/>
      <c s="1371"/>
      <c s="1371"/>
      <c s="1371"/>
      <c s="1372"/>
      <c s="1371"/>
      <c s="1371"/>
      <c s="1371"/>
      <c r="S34" s="2253" t="s">
        <v>425</v>
      </c>
      <c s="2253"/>
      <c s="1375"/>
      <c s="2267" t="str">
        <f>IF(TITLE_DATE_PR_CHANGE="",IF(TITLE_DATE_PR="","",TITLE_DATE_PR),TITLE_DATE_PR_CHANGE)</f>
        <v/>
      </c>
      <c s="2267"/>
      <c s="2267"/>
      <c s="2267"/>
      <c s="2267"/>
      <c s="2267"/>
      <c s="2267"/>
      <c s="329"/>
      <c s="2267" t="str">
        <f>IF(TITLE_DATE_PR_CHANGE="",IF(TITLE_DATE_PR="","",TITLE_DATE_PR),TITLE_DATE_PR_CHANGE)</f>
        <v/>
      </c>
      <c s="2267"/>
      <c s="2267"/>
      <c s="2267"/>
      <c s="2267"/>
      <c s="2267"/>
      <c s="2267"/>
      <c s="329"/>
      <c s="329"/>
      <c s="283"/>
      <c s="371"/>
      <c s="371"/>
      <c s="371"/>
      <c s="371"/>
      <c s="371"/>
      <c s="421">
        <v>0</v>
      </c>
    </row>
    <row r="35" spans="1:45" s="1856" customFormat="1" ht="18.75" customHeight="1" hidden="1">
      <c r="A35" s="1371"/>
      <c s="1371"/>
      <c s="1371"/>
      <c s="1371"/>
      <c s="1371"/>
      <c s="1371"/>
      <c s="1371"/>
      <c s="1371"/>
      <c s="1371"/>
      <c s="1371"/>
      <c s="1371"/>
      <c s="1372"/>
      <c s="1371"/>
      <c s="1371"/>
      <c s="1371"/>
      <c r="S35" s="2253" t="s">
        <v>426</v>
      </c>
      <c s="2253"/>
      <c s="1375"/>
      <c s="2254" t="str">
        <f>IF(TITLE_NUMBER_PR_CHANGE="",IF(TITLE_NUMBER_PR="","",TITLE_NUMBER_PR),TITLE_NUMBER_PR_CHANGE)</f>
        <v/>
      </c>
      <c s="2254"/>
      <c s="2254"/>
      <c s="2254"/>
      <c s="2254"/>
      <c s="2254"/>
      <c s="2254"/>
      <c s="329"/>
      <c s="2254" t="str">
        <f>IF(TITLE_NUMBER_PR_CHANGE="",IF(TITLE_NUMBER_PR="","",TITLE_NUMBER_PR),TITLE_NUMBER_PR_CHANGE)</f>
        <v/>
      </c>
      <c s="2254"/>
      <c s="2254"/>
      <c s="2254"/>
      <c s="2254"/>
      <c s="2254"/>
      <c s="2254"/>
      <c s="329"/>
      <c s="329"/>
      <c s="283"/>
      <c s="371"/>
      <c s="371"/>
      <c s="371"/>
      <c s="371"/>
      <c s="371"/>
      <c s="421">
        <v>0</v>
      </c>
    </row>
    <row r="36" spans="1:45" s="1856" customFormat="1" ht="0" customHeight="1">
      <c r="A36" s="1371"/>
      <c s="1371"/>
      <c s="1371"/>
      <c s="1371"/>
      <c s="1371"/>
      <c s="1371"/>
      <c s="1371"/>
      <c s="1371"/>
      <c s="1371"/>
      <c s="1371"/>
      <c s="1371"/>
      <c s="1372"/>
      <c s="1371"/>
      <c s="1371"/>
      <c s="1371"/>
      <c r="S36" s="326"/>
      <c s="326"/>
      <c s="1343"/>
      <c s="329"/>
      <c s="329"/>
      <c s="329"/>
      <c s="329"/>
      <c s="329"/>
      <c s="329"/>
      <c s="329"/>
      <c s="281" t="s">
        <v>427</v>
      </c>
      <c s="329"/>
      <c s="329"/>
      <c s="329"/>
      <c s="329"/>
      <c s="329"/>
      <c s="329"/>
      <c s="329"/>
      <c s="281" t="s">
        <v>427</v>
      </c>
      <c r="AN36" s="371"/>
      <c s="371"/>
      <c s="371"/>
      <c s="371"/>
      <c s="371"/>
      <c s="421">
        <v>0</v>
      </c>
    </row>
    <row r="37" spans="17:45" ht="14.7" customHeight="1">
      <c r="Q37" s="379"/>
      <c s="379"/>
      <c s="1278"/>
      <c s="366"/>
      <c s="1247"/>
      <c s="2255"/>
      <c s="2255"/>
      <c s="2255"/>
      <c s="2255"/>
      <c s="2255"/>
      <c s="2255"/>
      <c s="2255"/>
      <c s="2255"/>
      <c s="2255"/>
      <c s="2255"/>
      <c s="2255"/>
      <c s="2255"/>
      <c s="2255"/>
      <c s="2255"/>
      <c s="2255"/>
      <c s="2255"/>
      <c r="AS37" s="1158">
        <v>14</v>
      </c>
    </row>
    <row r="38" spans="17:45" ht="14.7" customHeight="1">
      <c r="Q38" s="379"/>
      <c s="379"/>
      <c s="2130" t="s">
        <v>300</v>
      </c>
      <c s="2130"/>
      <c s="2130"/>
      <c s="2130"/>
      <c s="2130"/>
      <c s="2130"/>
      <c s="2130"/>
      <c s="2130"/>
      <c s="2130"/>
      <c s="2130"/>
      <c s="2130"/>
      <c s="2130"/>
      <c s="2130"/>
      <c s="2130"/>
      <c s="2130"/>
      <c s="2130"/>
      <c s="2130"/>
      <c s="2130"/>
      <c s="2130"/>
      <c s="2130"/>
      <c s="2130" t="s">
        <v>301</v>
      </c>
      <c r="AS38" s="1158">
        <v>14</v>
      </c>
    </row>
    <row r="39" spans="17:45" ht="14.7" customHeight="1">
      <c r="Q39" s="379"/>
      <c s="379"/>
      <c s="2276" t="s">
        <v>87</v>
      </c>
      <c s="2212" t="s">
        <v>428</v>
      </c>
      <c s="304"/>
      <c s="2277" t="s">
        <v>429</v>
      </c>
      <c s="2278"/>
      <c s="2278"/>
      <c s="2278"/>
      <c s="2278"/>
      <c s="2278"/>
      <c s="2279"/>
      <c s="2280" t="s">
        <v>430</v>
      </c>
      <c s="2277" t="s">
        <v>429</v>
      </c>
      <c s="2278"/>
      <c s="2278"/>
      <c s="2278"/>
      <c s="2278"/>
      <c s="2278"/>
      <c s="2279"/>
      <c s="2280" t="s">
        <v>431</v>
      </c>
      <c s="2283" t="s">
        <v>432</v>
      </c>
      <c s="2130"/>
      <c r="AS39" s="1158">
        <v>14</v>
      </c>
    </row>
    <row r="40" spans="17:45" ht="35.7" customHeight="1">
      <c r="Q40" s="379"/>
      <c s="379"/>
      <c s="2276"/>
      <c s="2212"/>
      <c s="1034"/>
      <c s="2263" t="s">
        <v>433</v>
      </c>
      <c s="2286" t="s">
        <v>434</v>
      </c>
      <c s="2265" t="s">
        <v>435</v>
      </c>
      <c s="2266"/>
      <c s="2265" t="s">
        <v>449</v>
      </c>
      <c s="2272"/>
      <c s="2266"/>
      <c s="2281"/>
      <c s="2263" t="s">
        <v>433</v>
      </c>
      <c s="2286" t="s">
        <v>434</v>
      </c>
      <c s="2265" t="s">
        <v>435</v>
      </c>
      <c s="2266"/>
      <c s="2265" t="s">
        <v>436</v>
      </c>
      <c s="2272"/>
      <c s="2266"/>
      <c s="2281"/>
      <c s="2284"/>
      <c s="2130"/>
      <c r="AS40" s="1158">
        <v>34</v>
      </c>
    </row>
    <row r="41" spans="1:45" ht="35.7" customHeight="1">
      <c r="A41" s="1373"/>
      <c s="1373" t="s">
        <v>137</v>
      </c>
      <c s="1373" t="s">
        <v>138</v>
      </c>
      <c s="1373" t="s">
        <v>139</v>
      </c>
      <c s="1367" t="s">
        <v>437</v>
      </c>
      <c s="1367" t="s">
        <v>438</v>
      </c>
      <c s="1367" t="s">
        <v>439</v>
      </c>
      <c s="1367" t="s">
        <v>440</v>
      </c>
      <c s="1367" t="s">
        <v>441</v>
      </c>
      <c s="1367" t="s">
        <v>442</v>
      </c>
      <c s="1367" t="s">
        <v>443</v>
      </c>
      <c s="1367" t="s">
        <v>418</v>
      </c>
      <c r="Q41" s="379"/>
      <c s="379"/>
      <c s="2276"/>
      <c s="2212"/>
      <c s="305"/>
      <c s="2264"/>
      <c s="2287"/>
      <c s="1225" t="s">
        <v>444</v>
      </c>
      <c s="1225" t="s">
        <v>445</v>
      </c>
      <c s="1341" t="s">
        <v>446</v>
      </c>
      <c s="2273" t="s">
        <v>447</v>
      </c>
      <c s="2274"/>
      <c s="2282"/>
      <c s="2264"/>
      <c s="2287"/>
      <c s="1225" t="s">
        <v>444</v>
      </c>
      <c s="1225" t="s">
        <v>445</v>
      </c>
      <c s="1341" t="s">
        <v>446</v>
      </c>
      <c s="2273" t="s">
        <v>447</v>
      </c>
      <c s="2274"/>
      <c s="2282"/>
      <c s="2285"/>
      <c s="2130"/>
      <c r="AS41" s="1158">
        <v>34</v>
      </c>
    </row>
    <row r="42" spans="1:45" s="1644" customFormat="1" ht="11.25" customHeight="1" hidden="1">
      <c r="A42" s="1373"/>
      <c s="1373"/>
      <c s="1373"/>
      <c s="1373"/>
      <c s="1373"/>
      <c s="1373"/>
      <c s="1373"/>
      <c s="1373"/>
      <c s="1373"/>
      <c s="1373"/>
      <c s="1373"/>
      <c s="1367"/>
      <c s="1365"/>
      <c s="1365"/>
      <c s="1365"/>
      <c s="1249"/>
      <c s="1250"/>
      <c s="1257">
        <v>1</v>
      </c>
      <c s="1280" t="s">
        <v>109</v>
      </c>
      <c s="1258" t="s">
        <v>110</v>
      </c>
      <c s="1248" t="str">
        <f ca="1">OFFSET(U42,0,-1)</f>
        <v>2</v>
      </c>
      <c s="1338">
        <f ca="1">OFFSET(V42,0,-1)+1</f>
        <v>3</v>
      </c>
      <c s="1338"/>
      <c s="1338">
        <f ca="1">OFFSET(X42,0,-1)+1</f>
        <v>1</v>
      </c>
      <c s="1338">
        <f ca="1">OFFSET(Y42,0,-1)+1</f>
        <v>2</v>
      </c>
      <c s="1338">
        <f ca="1">OFFSET(Z42,0,-1)+1</f>
        <v>3</v>
      </c>
      <c s="2275">
        <f ca="1">OFFSET(AA42,0,-1)+1</f>
        <v>4</v>
      </c>
      <c s="2275"/>
      <c s="1338">
        <f ca="1">OFFSET(AC42,0,-2)+1</f>
        <v>5</v>
      </c>
      <c s="1338">
        <f ca="1">OFFSET(AD42,0,-1)+1</f>
        <v>6</v>
      </c>
      <c s="1338"/>
      <c s="1338">
        <f ca="1">OFFSET(AF42,0,-1)+1</f>
        <v>1</v>
      </c>
      <c s="1338">
        <f ca="1">OFFSET(AG42,0,-1)+1</f>
        <v>2</v>
      </c>
      <c s="1338">
        <f ca="1">OFFSET(AH42,0,-1)+1</f>
        <v>3</v>
      </c>
      <c s="2275">
        <f ca="1">OFFSET(AI42,0,-1)+1</f>
        <v>4</v>
      </c>
      <c s="2275"/>
      <c s="1338">
        <f ca="1">OFFSET(AK42,0,-2)+1</f>
        <v>5</v>
      </c>
      <c s="1248">
        <f ca="1">OFFSET(AL42,0,-1)</f>
        <v>5</v>
      </c>
      <c s="1338">
        <f ca="1">OFFSET(AM42,0,-1)+1</f>
        <v>6</v>
      </c>
      <c s="514"/>
      <c s="514"/>
      <c s="514"/>
      <c s="514"/>
      <c s="514"/>
      <c s="499">
        <v>0</v>
      </c>
    </row>
    <row r="43" spans="1:45" ht="22.05" customHeight="1">
      <c r="A43" s="1366" t="s">
        <v>163</v>
      </c>
      <c s="1366"/>
      <c s="1366"/>
      <c s="1366"/>
      <c s="2261">
        <v>1</v>
      </c>
      <c s="1366"/>
      <c s="1366"/>
      <c s="1366"/>
      <c s="1366"/>
      <c s="1366"/>
      <c s="1366"/>
      <c s="1367"/>
      <c s="1368"/>
      <c s="1368"/>
      <c s="1368"/>
      <c s="364"/>
      <c s="363"/>
      <c s="358"/>
      <c s="1339">
        <f>INDEX(PT_DIFFERENTIATION_NUM_NTAR,MATCH(A43,PT_DIFFERENTIATION_NTAR_ID,0))</f>
        <v>0</v>
      </c>
      <c s="301" t="s">
        <v>125</v>
      </c>
      <c s="303"/>
      <c s="2245"/>
      <c s="2246"/>
      <c s="2246"/>
      <c s="2246"/>
      <c s="2246"/>
      <c s="2246"/>
      <c s="2246"/>
      <c s="2247"/>
      <c s="2245" t="str">
        <f>INDEX(PT_DIFFERENTIATION_NTAR,MATCH(A43,PT_DIFFERENTIATION_NTAR_ID,0))</f>
        <v/>
      </c>
      <c s="2246"/>
      <c s="2246"/>
      <c s="2246"/>
      <c s="2246"/>
      <c s="2246"/>
      <c s="2246"/>
      <c s="2246"/>
      <c s="2247"/>
      <c s="1261"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3"/>
      <c s="503" t="str">
        <f>IF(T43="","",T43)</f>
        <v>Наименование тарифа</v>
      </c>
      <c s="503"/>
      <c s="503"/>
      <c s="1158">
        <v>21</v>
      </c>
    </row>
    <row r="44" spans="1:45" ht="22.05" customHeight="1">
      <c r="A44" s="1366" t="s">
        <v>163</v>
      </c>
      <c s="1366" t="s">
        <v>164</v>
      </c>
      <c s="1366"/>
      <c s="1366"/>
      <c s="2262"/>
      <c s="2261">
        <v>1</v>
      </c>
      <c s="1366"/>
      <c s="1366"/>
      <c s="1366"/>
      <c s="1366"/>
      <c s="1366"/>
      <c s="1367"/>
      <c s="1368"/>
      <c s="1368"/>
      <c s="1368"/>
      <c s="1335"/>
      <c s="355"/>
      <c s="356"/>
      <c s="1339" t="str">
        <f>INDEX(PT_DIFFERENTIATION_NUM_TER,MATCH(B44,PT_DIFFERENTIATION_TER_ID,0))</f>
        <v>.</v>
      </c>
      <c s="311" t="s">
        <v>397</v>
      </c>
      <c s="303"/>
      <c s="2245"/>
      <c s="2246"/>
      <c s="2246"/>
      <c s="2246"/>
      <c s="2246"/>
      <c s="2246"/>
      <c s="2246"/>
      <c s="2247"/>
      <c s="2245" t="str">
        <f>INDEX(PT_DIFFERENTIATION_TER,MATCH(B44,PT_DIFFERENTIATION_TER_ID,0))</f>
        <v/>
      </c>
      <c s="2246"/>
      <c s="2246"/>
      <c s="2246"/>
      <c s="2246"/>
      <c s="2246"/>
      <c s="2246"/>
      <c s="2246"/>
      <c s="2247"/>
      <c s="1261" t="s">
        <v>398</v>
      </c>
      <c r="AO44" s="503"/>
      <c s="503" t="str">
        <f>IF(T44="","",T44)</f>
        <v>Территория действия тарифа</v>
      </c>
      <c s="503"/>
      <c s="503"/>
      <c s="1158">
        <v>21</v>
      </c>
    </row>
    <row r="45" spans="1:45" ht="24" customHeight="1">
      <c r="A45" s="1366" t="s">
        <v>163</v>
      </c>
      <c s="1366" t="s">
        <v>164</v>
      </c>
      <c s="1366" t="s">
        <v>165</v>
      </c>
      <c s="1366"/>
      <c s="2262"/>
      <c s="2262"/>
      <c s="2261">
        <v>1</v>
      </c>
      <c s="1366"/>
      <c s="1366"/>
      <c s="1366"/>
      <c s="1366"/>
      <c s="1367"/>
      <c s="1368"/>
      <c s="1368"/>
      <c s="1368"/>
      <c s="357"/>
      <c s="355"/>
      <c s="356"/>
      <c s="1339" t="str">
        <f>INDEX(PT_DIFFERENTIATION_NUM_CS,MATCH(C45,PT_DIFFERENTIATION_CS_ID,0))</f>
        <v>..</v>
      </c>
      <c s="312" t="s">
        <v>399</v>
      </c>
      <c s="303"/>
      <c s="2245"/>
      <c s="2246"/>
      <c s="2246"/>
      <c s="2246"/>
      <c s="2246"/>
      <c s="2246"/>
      <c s="2246"/>
      <c s="2247"/>
      <c s="2245" t="str">
        <f>INDEX(PT_DIFFERENTIATION_CS,MATCH(C45,PT_DIFFERENTIATION_CS_ID,0))</f>
        <v/>
      </c>
      <c s="2246"/>
      <c s="2246"/>
      <c s="2246"/>
      <c s="2246"/>
      <c s="2246"/>
      <c s="2246"/>
      <c s="2246"/>
      <c s="2247"/>
      <c s="1261" t="s">
        <v>400</v>
      </c>
      <c r="AO45" s="503"/>
      <c s="503" t="str">
        <f>IF(T45="","",T45)</f>
        <v>Наименование системы теплоснабжения</v>
      </c>
      <c s="503"/>
      <c s="503"/>
      <c s="1158">
        <v>23</v>
      </c>
    </row>
    <row r="46" spans="1:45" ht="22.05" customHeight="1">
      <c r="A46" s="1366" t="s">
        <v>163</v>
      </c>
      <c s="1366" t="s">
        <v>164</v>
      </c>
      <c s="1366" t="s">
        <v>165</v>
      </c>
      <c s="1366" t="s">
        <v>166</v>
      </c>
      <c s="2262"/>
      <c s="2262"/>
      <c s="2262"/>
      <c s="2261">
        <v>1</v>
      </c>
      <c s="1366"/>
      <c s="1366"/>
      <c s="1366"/>
      <c s="1367"/>
      <c s="1368"/>
      <c s="1368"/>
      <c s="1368"/>
      <c s="357"/>
      <c s="355"/>
      <c s="356"/>
      <c s="1339" t="str">
        <f>INDEX(PT_DIFFERENTIATION_NUM_IST_TE,MATCH(D46,PT_DIFFERENTIATION_IST_TE_ID,0))</f>
        <v>...</v>
      </c>
      <c s="313" t="s">
        <v>401</v>
      </c>
      <c s="303"/>
      <c s="2245"/>
      <c s="2246"/>
      <c s="2246"/>
      <c s="2246"/>
      <c s="2246"/>
      <c s="2246"/>
      <c s="2246"/>
      <c s="2247"/>
      <c s="2245" t="str">
        <f>INDEX(PT_DIFFERENTIATION_IST_TE,MATCH(D46,PT_DIFFERENTIATION_IST_TE_ID,0))</f>
        <v/>
      </c>
      <c s="2246"/>
      <c s="2246"/>
      <c s="2246"/>
      <c s="2246"/>
      <c s="2246"/>
      <c s="2246"/>
      <c s="2246"/>
      <c s="2247"/>
      <c s="1261" t="s">
        <v>402</v>
      </c>
      <c r="AO46" s="503"/>
      <c s="503" t="str">
        <f>IF(T46="","",T46)</f>
        <v>Источник тепловой энергии</v>
      </c>
      <c s="503"/>
      <c s="503"/>
      <c s="1158">
        <v>21</v>
      </c>
    </row>
    <row r="47" spans="1:45" ht="49.5" customHeight="1">
      <c r="A47" s="1366" t="s">
        <v>163</v>
      </c>
      <c s="1366" t="s">
        <v>164</v>
      </c>
      <c s="1366" t="s">
        <v>165</v>
      </c>
      <c s="1366" t="s">
        <v>166</v>
      </c>
      <c s="2262"/>
      <c s="2262"/>
      <c s="2262"/>
      <c s="2262"/>
      <c s="2259" t="str">
        <f>S46&amp;".1"</f>
        <v>....1</v>
      </c>
      <c s="1366"/>
      <c s="1366"/>
      <c s="1367" t="s">
        <v>403</v>
      </c>
      <c r="P47" s="2260">
        <v>1</v>
      </c>
      <c s="1334"/>
      <c s="359"/>
      <c s="1339" t="str">
        <f>$I47</f>
        <v>....1</v>
      </c>
      <c s="288" t="s">
        <v>404</v>
      </c>
      <c s="303"/>
      <c s="2248"/>
      <c s="2249"/>
      <c s="2249"/>
      <c s="2249"/>
      <c s="2249"/>
      <c s="2249"/>
      <c s="2249"/>
      <c s="2250"/>
      <c s="2248"/>
      <c s="2249"/>
      <c s="2249"/>
      <c s="2249"/>
      <c s="2249"/>
      <c s="2249"/>
      <c s="2249"/>
      <c s="2249"/>
      <c s="2250"/>
      <c s="1261" t="s">
        <v>405</v>
      </c>
      <c r="AO47" s="503"/>
      <c s="503" t="str">
        <f>IF(T47="","",T47)</f>
        <v>Схема подключения теплопотребляющей установки к коллектору источника тепловой энергии</v>
      </c>
      <c s="503"/>
      <c s="503"/>
      <c s="1158">
        <v>47</v>
      </c>
    </row>
    <row r="48" spans="1:45" ht="22.05" customHeight="1">
      <c r="A48" s="1366" t="s">
        <v>163</v>
      </c>
      <c s="1366" t="s">
        <v>164</v>
      </c>
      <c s="1366" t="s">
        <v>165</v>
      </c>
      <c s="1366" t="s">
        <v>166</v>
      </c>
      <c s="2262"/>
      <c s="2262"/>
      <c s="2262"/>
      <c s="2262"/>
      <c s="2289"/>
      <c s="2259" t="str">
        <f>I47&amp;".1"</f>
        <v>....1.1</v>
      </c>
      <c s="1366"/>
      <c s="1367" t="s">
        <v>406</v>
      </c>
      <c r="P48" s="2260"/>
      <c s="2260">
        <v>1</v>
      </c>
      <c s="360"/>
      <c s="1339" t="str">
        <f>$J48</f>
        <v>....1.1</v>
      </c>
      <c s="289" t="s">
        <v>407</v>
      </c>
      <c s="303"/>
      <c s="2248"/>
      <c s="2249"/>
      <c s="2249"/>
      <c s="2249"/>
      <c s="2249"/>
      <c s="2249"/>
      <c s="2249"/>
      <c s="2250"/>
      <c s="2248"/>
      <c s="2249"/>
      <c s="2249"/>
      <c s="2249"/>
      <c s="2249"/>
      <c s="2249"/>
      <c s="2249"/>
      <c s="2249"/>
      <c s="2250"/>
      <c s="1261" t="s">
        <v>408</v>
      </c>
      <c r="AO48" s="503"/>
      <c s="503" t="str">
        <f>IF(T48="","",T48)</f>
        <v>Группа потребителей</v>
      </c>
      <c s="503"/>
      <c s="503"/>
      <c s="1158">
        <v>21</v>
      </c>
    </row>
    <row r="49" spans="1:45" ht="22.05" customHeight="1">
      <c r="A49" s="1366" t="s">
        <v>163</v>
      </c>
      <c s="1366" t="s">
        <v>164</v>
      </c>
      <c s="1366" t="s">
        <v>165</v>
      </c>
      <c s="1366" t="s">
        <v>166</v>
      </c>
      <c s="2262"/>
      <c s="2262"/>
      <c s="2262"/>
      <c s="2262"/>
      <c s="2289"/>
      <c s="2289"/>
      <c s="2259" t="str">
        <f>J48&amp;".1"</f>
        <v>....1.1.1</v>
      </c>
      <c s="1367" t="s">
        <v>409</v>
      </c>
      <c r="P49" s="2260"/>
      <c s="2260"/>
      <c s="360">
        <v>1</v>
      </c>
      <c s="1339" t="str">
        <f>$K49</f>
        <v>....1.1.1</v>
      </c>
      <c s="1350"/>
      <c s="303"/>
      <c s="754"/>
      <c s="328"/>
      <c s="754"/>
      <c s="1260"/>
      <c s="2268"/>
      <c s="2110" t="s">
        <v>65</v>
      </c>
      <c s="2268"/>
      <c s="2110" t="s">
        <v>65</v>
      </c>
      <c s="754"/>
      <c s="328"/>
      <c s="754"/>
      <c s="1260"/>
      <c s="2268"/>
      <c s="2110" t="s">
        <v>65</v>
      </c>
      <c s="2290"/>
      <c s="2110" t="s">
        <v>65</v>
      </c>
      <c s="1351"/>
      <c s="2256" t="s">
        <v>410</v>
      </c>
      <c s="514">
        <f>STRCHECKDATE(V50:AL50)</f>
      </c>
      <c s="503"/>
      <c s="503" t="str">
        <f>IF(T49="","",T49)</f>
        <v/>
      </c>
      <c s="503"/>
      <c s="503"/>
      <c s="1158">
        <v>21</v>
      </c>
    </row>
    <row r="50" spans="1:45" ht="1.05" customHeight="1">
      <c r="A50" s="1366" t="s">
        <v>163</v>
      </c>
      <c s="1366" t="s">
        <v>164</v>
      </c>
      <c s="1366" t="s">
        <v>165</v>
      </c>
      <c s="1366" t="s">
        <v>166</v>
      </c>
      <c s="2262"/>
      <c s="2262"/>
      <c s="2262"/>
      <c s="2262"/>
      <c s="2289"/>
      <c s="2289"/>
      <c s="2259"/>
      <c s="1367"/>
      <c r="P50" s="2260"/>
      <c s="2260"/>
      <c s="360"/>
      <c s="1345"/>
      <c s="303"/>
      <c s="303"/>
      <c s="328"/>
      <c s="328"/>
      <c s="328"/>
      <c s="331" t="str">
        <f>Z49&amp;"-"&amp;AB49</f>
        <v>-</v>
      </c>
      <c s="2269"/>
      <c s="2110"/>
      <c s="2269"/>
      <c s="2110"/>
      <c s="328"/>
      <c s="328"/>
      <c s="328"/>
      <c s="331" t="str">
        <f>AH49&amp;"-"&amp;AJ49</f>
        <v>-</v>
      </c>
      <c s="2269"/>
      <c s="2110"/>
      <c s="2291"/>
      <c s="2110"/>
      <c s="1352"/>
      <c s="2257"/>
      <c r="AO50" s="503"/>
      <c s="503" t="str">
        <f>IF(T50="","",T50)</f>
        <v/>
      </c>
      <c s="503"/>
      <c s="503"/>
      <c s="1158">
        <v>1</v>
      </c>
    </row>
    <row r="51" spans="1:45" ht="11.55" customHeight="1">
      <c r="A51" s="1366" t="s">
        <v>163</v>
      </c>
      <c s="1366" t="s">
        <v>164</v>
      </c>
      <c s="1366" t="s">
        <v>165</v>
      </c>
      <c s="1366" t="s">
        <v>166</v>
      </c>
      <c s="2262"/>
      <c s="2262"/>
      <c s="2262"/>
      <c s="2262"/>
      <c s="2289"/>
      <c s="2259"/>
      <c s="1366"/>
      <c s="1367"/>
      <c r="P51" s="2260"/>
      <c s="2260"/>
      <c s="359"/>
      <c s="1281"/>
      <c s="291" t="s">
        <v>411</v>
      </c>
      <c s="370"/>
      <c s="370"/>
      <c s="370"/>
      <c s="370"/>
      <c s="370"/>
      <c s="370"/>
      <c s="370"/>
      <c s="370"/>
      <c s="370"/>
      <c s="370"/>
      <c s="370"/>
      <c s="370"/>
      <c s="370"/>
      <c s="370"/>
      <c s="370"/>
      <c s="370"/>
      <c s="370"/>
      <c s="327"/>
      <c s="2258"/>
      <c r="AO51" s="503"/>
      <c s="503" t="str">
        <f>IF(T51="","",T51)</f>
        <v>Добавить вид теплоносителя (параметры теплоносителя)</v>
      </c>
      <c s="503"/>
      <c s="503"/>
      <c s="1158">
        <v>11</v>
      </c>
    </row>
    <row r="52" spans="1:45" ht="11.55" customHeight="1">
      <c r="A52" s="1366" t="s">
        <v>163</v>
      </c>
      <c s="1366" t="s">
        <v>164</v>
      </c>
      <c s="1366" t="s">
        <v>165</v>
      </c>
      <c s="1366" t="s">
        <v>166</v>
      </c>
      <c s="2262"/>
      <c s="2262"/>
      <c s="2262"/>
      <c s="2262"/>
      <c s="2259"/>
      <c s="1366"/>
      <c s="1366"/>
      <c s="1367"/>
      <c r="P52" s="2260"/>
      <c s="1334"/>
      <c s="359"/>
      <c s="1281"/>
      <c s="290" t="s">
        <v>412</v>
      </c>
      <c s="370"/>
      <c s="370"/>
      <c s="370"/>
      <c s="370"/>
      <c s="370"/>
      <c s="370"/>
      <c s="370"/>
      <c s="370"/>
      <c s="369"/>
      <c s="370"/>
      <c s="370"/>
      <c s="370"/>
      <c s="370"/>
      <c s="370"/>
      <c s="370"/>
      <c s="370"/>
      <c s="369"/>
      <c s="370"/>
      <c s="306"/>
      <c r="AO52" s="503"/>
      <c s="503" t="str">
        <f>IF(T52="","",T52)</f>
        <v>Добавить группу потребителей</v>
      </c>
      <c s="503"/>
      <c s="503"/>
      <c s="1158">
        <v>11</v>
      </c>
    </row>
    <row r="53" spans="1:45" ht="14.7" customHeight="1">
      <c r="A53" s="1366" t="s">
        <v>163</v>
      </c>
      <c s="1366" t="s">
        <v>164</v>
      </c>
      <c s="1366" t="s">
        <v>165</v>
      </c>
      <c s="1366" t="s">
        <v>166</v>
      </c>
      <c s="2262"/>
      <c s="2262"/>
      <c s="2262"/>
      <c s="2261"/>
      <c s="1366"/>
      <c s="1366"/>
      <c s="1366"/>
      <c s="1367"/>
      <c s="1368"/>
      <c s="1368"/>
      <c s="540"/>
      <c s="363"/>
      <c s="378"/>
      <c s="358"/>
      <c s="1281"/>
      <c s="368" t="s">
        <v>413</v>
      </c>
      <c s="370"/>
      <c s="370"/>
      <c s="370"/>
      <c s="370"/>
      <c s="370"/>
      <c s="370"/>
      <c s="370"/>
      <c s="370"/>
      <c s="369"/>
      <c s="370"/>
      <c s="370"/>
      <c s="370"/>
      <c s="370"/>
      <c s="370"/>
      <c s="370"/>
      <c s="370"/>
      <c s="369"/>
      <c s="370"/>
      <c s="306"/>
      <c r="AO53" s="503"/>
      <c s="503" t="str">
        <f>IF(T53="","",T53)</f>
        <v>Добавить схему подключения</v>
      </c>
      <c s="503"/>
      <c s="503"/>
      <c s="1158">
        <v>14</v>
      </c>
    </row>
    <row r="54" spans="1:45" s="1645" customFormat="1" ht="1.05" customHeight="1">
      <c r="A54" s="1346" t="s">
        <v>163</v>
      </c>
      <c s="1346" t="s">
        <v>164</v>
      </c>
      <c s="1346" t="s">
        <v>165</v>
      </c>
      <c s="1317"/>
      <c s="2262"/>
      <c s="2262"/>
      <c s="2261"/>
      <c s="1317"/>
      <c s="1317"/>
      <c s="1317"/>
      <c s="1317"/>
      <c s="1342"/>
      <c s="1318"/>
      <c s="1318"/>
      <c r="P54" s="1319"/>
      <c s="1320"/>
      <c s="1319"/>
      <c s="1325"/>
      <c s="1328" t="s">
        <v>414</v>
      </c>
      <c s="1327"/>
      <c s="1327"/>
      <c s="1327"/>
      <c s="1327"/>
      <c s="1327"/>
      <c s="1327"/>
      <c s="1327"/>
      <c s="1327"/>
      <c s="1327"/>
      <c s="1327"/>
      <c s="1327"/>
      <c s="1327"/>
      <c s="1327"/>
      <c s="1327"/>
      <c s="1327"/>
      <c s="1327"/>
      <c s="1327"/>
      <c s="1327"/>
      <c s="1327"/>
      <c r="AO54" s="792"/>
      <c s="792" t="str">
        <f>IF(T54="","",T54)</f>
        <v>Добавить источник для дифференциации</v>
      </c>
      <c s="792"/>
      <c s="792"/>
      <c s="521">
        <v>1</v>
      </c>
    </row>
    <row r="55" spans="1:45" s="1645" customFormat="1" ht="1.05" customHeight="1">
      <c r="A55" s="1346" t="s">
        <v>163</v>
      </c>
      <c s="1346" t="s">
        <v>164</v>
      </c>
      <c s="1317"/>
      <c s="1317"/>
      <c s="2262"/>
      <c s="2261"/>
      <c s="1317"/>
      <c s="1317"/>
      <c s="1317"/>
      <c s="1317"/>
      <c s="1317"/>
      <c s="1342"/>
      <c s="1324"/>
      <c s="1324"/>
      <c r="P55" s="1319"/>
      <c s="1320"/>
      <c s="1319"/>
      <c s="1325"/>
      <c s="1328" t="s">
        <v>415</v>
      </c>
      <c s="1327"/>
      <c s="1327"/>
      <c s="1327"/>
      <c s="1327"/>
      <c s="1327"/>
      <c s="1327"/>
      <c s="1327"/>
      <c s="1327"/>
      <c s="1327"/>
      <c s="1327"/>
      <c s="1327"/>
      <c s="1327"/>
      <c s="1327"/>
      <c s="1327"/>
      <c s="1327"/>
      <c s="1327"/>
      <c s="1327"/>
      <c s="1327"/>
      <c s="1327"/>
      <c r="AO55" s="792"/>
      <c s="792" t="str">
        <f>IF(T55="","",T55)</f>
        <v>Добавить централизованную систему для дифференциации</v>
      </c>
      <c s="792"/>
      <c s="792"/>
      <c s="521">
        <v>1</v>
      </c>
    </row>
    <row r="56" spans="1:45" s="1645" customFormat="1" ht="1.05" customHeight="1">
      <c r="A56" s="1346" t="s">
        <v>163</v>
      </c>
      <c s="1346"/>
      <c s="1346"/>
      <c s="1346"/>
      <c s="2261"/>
      <c s="1346"/>
      <c s="1346"/>
      <c s="1346"/>
      <c s="1346"/>
      <c s="1346"/>
      <c s="1346"/>
      <c s="1349"/>
      <c s="1324"/>
      <c s="1324"/>
      <c s="521"/>
      <c s="383"/>
      <c s="1347"/>
      <c s="383"/>
      <c s="1325"/>
      <c s="1328" t="s">
        <v>416</v>
      </c>
      <c s="1327"/>
      <c s="1327"/>
      <c s="1327"/>
      <c s="1327"/>
      <c s="1327"/>
      <c s="1327"/>
      <c s="1327"/>
      <c s="1327"/>
      <c s="1327"/>
      <c s="1327"/>
      <c s="1327"/>
      <c s="1327"/>
      <c s="1327"/>
      <c s="1327"/>
      <c s="1327"/>
      <c s="1327"/>
      <c s="1327"/>
      <c s="1327"/>
      <c s="1327"/>
      <c r="AO56" s="503"/>
      <c s="503" t="str">
        <f>IF(T56="","",T56)</f>
        <v>Добавить территорию для дифференциации</v>
      </c>
      <c s="503"/>
      <c s="503"/>
      <c s="514">
        <v>1</v>
      </c>
    </row>
    <row r="57" spans="1:45" s="1645" customFormat="1" ht="1.05" customHeight="1">
      <c r="A57" s="1317"/>
      <c s="1317"/>
      <c s="1317"/>
      <c s="1317"/>
      <c s="1346"/>
      <c s="1317"/>
      <c s="1317"/>
      <c s="1317"/>
      <c s="1317"/>
      <c s="1317"/>
      <c s="1317"/>
      <c s="1342"/>
      <c s="1324"/>
      <c s="1324"/>
      <c r="P57" s="1319"/>
      <c s="1320"/>
      <c s="1319"/>
      <c s="1325"/>
      <c s="1328" t="s">
        <v>448</v>
      </c>
      <c s="1327"/>
      <c s="1327"/>
      <c s="1327"/>
      <c s="1327"/>
      <c s="1327"/>
      <c s="1327"/>
      <c s="1327"/>
      <c s="1327"/>
      <c s="1327"/>
      <c s="1327"/>
      <c s="1327"/>
      <c s="1327"/>
      <c s="1327"/>
      <c s="1327"/>
      <c s="1327"/>
      <c s="1327"/>
      <c s="1327"/>
      <c s="1327"/>
      <c s="1327"/>
      <c r="AO57" s="792"/>
      <c s="792" t="str">
        <f>IF(T57="","",T57)</f>
        <v>Добавить наименование тарифа</v>
      </c>
      <c s="792"/>
      <c s="792"/>
      <c s="521">
        <v>1</v>
      </c>
    </row>
    <row r="58" spans="13:45" ht="11.55" customHeight="1">
      <c r="M58" s="1163"/>
      <c s="1163"/>
      <c s="540"/>
      <c s="1158"/>
      <c s="1158"/>
      <c s="1158"/>
      <c s="1158"/>
      <c r="AN58" s="1158"/>
      <c s="1158"/>
      <c s="1158"/>
      <c s="1158"/>
      <c s="1158"/>
      <c s="1158">
        <v>11</v>
      </c>
    </row>
    <row r="59" spans="15:45" ht="28.5" customHeight="1">
      <c r="O59" s="540"/>
      <c r="S59" s="1256"/>
      <c s="2288"/>
      <c s="2288"/>
      <c s="2288"/>
      <c s="2288"/>
      <c s="2288"/>
      <c s="2288"/>
      <c s="2288"/>
      <c s="2288"/>
      <c s="2288"/>
      <c s="2288"/>
      <c s="2288"/>
      <c s="2288"/>
      <c s="2288"/>
      <c s="2288"/>
      <c s="2288"/>
      <c s="2288"/>
      <c s="2288"/>
      <c s="2288"/>
      <c s="2288"/>
      <c s="2288"/>
      <c r="AS59" s="1158">
        <v>27</v>
      </c>
    </row>
    <row r="60" spans="15:45" ht="65.25" customHeight="1">
      <c r="O60" s="540"/>
      <c r="T60" s="2288"/>
      <c s="2288"/>
      <c s="2288"/>
      <c s="2288"/>
      <c s="2288"/>
      <c s="2288"/>
      <c s="2288"/>
      <c s="2288"/>
      <c s="2288"/>
      <c s="2288"/>
      <c s="2288"/>
      <c s="2288"/>
      <c s="2288"/>
      <c s="2288"/>
      <c s="2288"/>
      <c s="2288"/>
      <c s="2288"/>
      <c s="2288"/>
      <c s="2288"/>
      <c s="2288"/>
      <c r="AS60" s="1158">
        <v>62</v>
      </c>
    </row>
    <row r="61" spans="15:45" ht="14.7" customHeight="1">
      <c r="O61" s="540"/>
      <c r="AS61" s="1158">
        <v>14</v>
      </c>
    </row>
    <row r="62" spans="15:45" ht="18.75" customHeight="1">
      <c r="O62" s="540"/>
      <c r="S62" s="1256"/>
      <c s="2288"/>
      <c s="2288"/>
      <c s="2288"/>
      <c s="2288"/>
      <c s="2288"/>
      <c s="2288"/>
      <c s="2288"/>
      <c s="2288"/>
      <c s="2288"/>
      <c s="2288"/>
      <c s="2288"/>
      <c s="2288"/>
      <c s="2288"/>
      <c s="2288"/>
      <c s="2288"/>
      <c s="2288"/>
      <c s="2288"/>
      <c s="2288"/>
      <c s="2288"/>
      <c s="2288"/>
      <c r="AS62" s="1158">
        <v>18</v>
      </c>
    </row>
    <row r="63" spans="15:45" ht="18.75" customHeight="1">
      <c r="O63" s="540"/>
      <c r="T63" s="2288"/>
      <c s="2288"/>
      <c s="2288"/>
      <c s="2288"/>
      <c s="2288"/>
      <c s="2288"/>
      <c s="2288"/>
      <c s="2288"/>
      <c s="2288"/>
      <c s="2288"/>
      <c s="2288"/>
      <c s="2288"/>
      <c s="2288"/>
      <c s="2288"/>
      <c s="2288"/>
      <c s="2288"/>
      <c s="2288"/>
      <c s="2288"/>
      <c s="2288"/>
      <c s="2288"/>
      <c r="AS63" s="1158">
        <v>18</v>
      </c>
    </row>
    <row r="64" spans="15:45" ht="29.25" customHeight="1">
      <c r="O64" s="540"/>
      <c r="S64" s="1256"/>
      <c s="2288"/>
      <c s="2288"/>
      <c s="2288"/>
      <c s="2288"/>
      <c s="2288"/>
      <c s="2288"/>
      <c s="2288"/>
      <c s="2288"/>
      <c s="2288"/>
      <c s="2288"/>
      <c s="2288"/>
      <c s="2288"/>
      <c s="2288"/>
      <c s="2288"/>
      <c s="2288"/>
      <c s="2288"/>
      <c s="2288"/>
      <c s="2288"/>
      <c s="2288"/>
      <c s="2288"/>
      <c r="AS64" s="1158">
        <v>28</v>
      </c>
    </row>
    <row r="65" spans="1:45" ht="22.5" customHeight="1" hidden="1">
      <c r="A65" s="1163" t="s">
        <v>81</v>
      </c>
      <c s="1163">
        <v>0</v>
      </c>
      <c s="1163">
        <v>0</v>
      </c>
      <c s="1163">
        <v>0</v>
      </c>
      <c s="1163">
        <v>0</v>
      </c>
      <c s="1163">
        <v>0</v>
      </c>
      <c s="1163">
        <v>0</v>
      </c>
      <c s="1163">
        <v>0</v>
      </c>
      <c s="1163">
        <v>0</v>
      </c>
      <c s="1163">
        <v>0</v>
      </c>
      <c s="1163">
        <v>0</v>
      </c>
      <c s="1332">
        <v>0</v>
      </c>
      <c s="1365">
        <v>0</v>
      </c>
      <c s="1365">
        <v>0</v>
      </c>
      <c s="1365">
        <v>0</v>
      </c>
      <c s="1331">
        <v>3</v>
      </c>
      <c s="347">
        <v>3</v>
      </c>
      <c s="347">
        <v>3</v>
      </c>
      <c s="584">
        <v>12</v>
      </c>
      <c s="1158">
        <v>31</v>
      </c>
      <c s="1158">
        <v>0</v>
      </c>
      <c s="1158">
        <v>0</v>
      </c>
      <c s="1158">
        <v>0</v>
      </c>
      <c s="1158">
        <v>0</v>
      </c>
      <c s="1158">
        <v>0</v>
      </c>
      <c s="1158">
        <v>0</v>
      </c>
      <c s="1158">
        <v>0</v>
      </c>
      <c s="1158">
        <v>0</v>
      </c>
      <c s="1158">
        <v>0</v>
      </c>
      <c s="1158">
        <v>24</v>
      </c>
      <c s="1158">
        <v>0</v>
      </c>
      <c s="1158">
        <v>24</v>
      </c>
      <c s="1158">
        <v>24</v>
      </c>
      <c s="1158">
        <v>11</v>
      </c>
      <c s="1158">
        <v>3</v>
      </c>
      <c s="1158">
        <v>11</v>
      </c>
      <c s="1158">
        <v>0</v>
      </c>
      <c s="1158">
        <v>4</v>
      </c>
      <c s="1158">
        <v>115</v>
      </c>
      <c s="514">
        <v>10</v>
      </c>
      <c s="514">
        <v>10</v>
      </c>
      <c s="514">
        <v>10</v>
      </c>
      <c s="514">
        <v>10</v>
      </c>
      <c s="514">
        <v>10</v>
      </c>
      <c s="1158">
        <v>23</v>
      </c>
    </row>
  </sheetData>
  <sheetProtection formatColumns="0" formatRows="0" insertRows="0" deleteColumns="0" deleteRows="0" sort="0" autoFilter="0"/>
  <mergeCells count="112">
    <mergeCell ref="T63:AM63"/>
    <mergeCell ref="T64:AM64"/>
    <mergeCell ref="T62:AM62"/>
    <mergeCell ref="AM49:AM51"/>
    <mergeCell ref="T59:AM59"/>
    <mergeCell ref="T60:AM60"/>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AM8:AM10"/>
    <mergeCell ref="AH17:AH18"/>
    <mergeCell ref="AI17:AI18"/>
    <mergeCell ref="AJ17:AJ18"/>
    <mergeCell ref="AK17:AK18"/>
    <mergeCell ref="AH8:AH9"/>
    <mergeCell ref="AI8:AI9"/>
    <mergeCell ref="AJ8:AJ9"/>
    <mergeCell ref="AK8:AK9"/>
    <mergeCell ref="V7:AC7"/>
    <mergeCell ref="AD7:AL7"/>
    <mergeCell ref="V2:AC2"/>
    <mergeCell ref="AD2:AL2"/>
    <mergeCell ref="V3:AC3"/>
    <mergeCell ref="AD3:AL3"/>
    <mergeCell ref="V4:AC4"/>
    <mergeCell ref="AD4:AL4"/>
    <mergeCell ref="V5:AC5"/>
    <mergeCell ref="AD5:AL5"/>
    <mergeCell ref="V6:AC6"/>
    <mergeCell ref="AD6:AL6"/>
    <mergeCell ref="S26:AJ26"/>
    <mergeCell ref="S27:AJ27"/>
    <mergeCell ref="S29:T29"/>
    <mergeCell ref="AD29:AJ29"/>
    <mergeCell ref="S30:T30"/>
    <mergeCell ref="V30:AB30"/>
    <mergeCell ref="AD30:AJ30"/>
    <mergeCell ref="S31:T31"/>
    <mergeCell ref="E2:E15"/>
    <mergeCell ref="F3:F14"/>
    <mergeCell ref="G4:G13"/>
    <mergeCell ref="H5:H12"/>
    <mergeCell ref="I6:I11"/>
    <mergeCell ref="P6:P11"/>
    <mergeCell ref="J7:J10"/>
    <mergeCell ref="Q7:Q10"/>
    <mergeCell ref="K8:K9"/>
    <mergeCell ref="Z8:Z9"/>
    <mergeCell ref="AA8:AA9"/>
    <mergeCell ref="AB8:AB9"/>
    <mergeCell ref="AC8:AC9"/>
    <mergeCell ref="V29:AB29"/>
    <mergeCell ref="V31:AB31"/>
    <mergeCell ref="AD31:AJ31"/>
  </mergeCells>
  <dataValidations count="8">
    <dataValidation type="list" allowBlank="1" showInputMessage="1" prompt="Выберите значение из списка" errorTitle="Ошибка" error="Выберите значение из списка" sqref="V65584:AL65584 V983088:AL983088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65587:AM65593 S131123:AM131129 S196659:AM196665 S262195:AM262201 S327731:AM327737 S393267:AM393273 S458803:AM458809 S524339:AM524345 S589875:AM589881 S655411:AM655417 S720947:AM720953 S786483:AM786489 S852019:AM852025 S917555:AM917561 S983091:AM983097"/>
    <dataValidation type="list" allowBlank="1" showInputMessage="1" showErrorMessage="1" errorTitle="Ошибка" error="Выберите значение из списка" sqref="V65583:W65583 V983087:W983087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8 Z65585 Z131121 Z196657 Z262193 Z327729 Z393265 Z458801 Z524337 Z589873 Z655409 Z720945 Z786481 Z852017 Z917553 Z983089 AB65585 AB131121 AB196657 AB262193 AB327729 AB393265 AB458801 AB524337 AB589873 AB655409 AB720945 AB786481 AB852017 AB917553 AB983089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8 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I17 AK196657 AA49 AC49 AK262193"/>
    <dataValidation allowBlank="1" promptTitle="checkPeriodRange" sqref="Y9 Y65586 Y131122 Y196658 Y262194 Y327730 Y393266 Y458802 Y524338 Y589874 Y655410 Y720946 Y786482 Y852018 Y917554 Y983090 AG65586 AG131122 AG196658 AG262194 AG327730 AG393266 AG458802 AG524338 AG589874 AG655410 AG720946 AG786482 AG852018 AG917554 AG983090 AG9 AG50 AG18 Y50"/>
  </dataValidations>
  <pageMargins left="0.7" right="0.7" top="0.75" bottom="0.75" header="0.3" footer="0.3"/>
  <pageSetup orientation="portrait" paperSize="9"/>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m="http://schemas.microsoft.com/office/excel/2006/main" xmlns:x14ac="http://schemas.microsoft.com/office/spreadsheetml/2009/9/ac" xmlns:xr="http://schemas.microsoft.com/office/spreadsheetml/2014/revision" xmlns:xr2="http://schemas.microsoft.com/office/spreadsheetml/2015/revision2" xmlns:xr3="http://schemas.microsoft.com/office/spreadsheetml/2016/revision3" xr:uid="{4BEE2062-853A-7A18-03B4-3565DCE011C3}" mc:Ignorable="x14ac xr xr2 xr3">
  <sheetPr>
    <tabColor theme="6" tint="0.400000005960464"/>
  </sheetPr>
  <dimension ref="A1:AS65"/>
  <sheetViews>
    <sheetView showGridLines="0" zoomScale="90" zoomScaleNormal="90" workbookViewId="0" topLeftCell="A1">
      <pane xSplit="29" ySplit="42" topLeftCell="AD43" activePane="bottomRight" state="frozen"/>
      <selection pane="topLeft" activeCell="A1" sqref="A1"/>
      <selection pane="bottomLeft" activeCell="A43" sqref="A43"/>
      <selection pane="topRight" activeCell="AD1" sqref="AD1"/>
      <selection pane="bottomRight" activeCell="A1" sqref="A1"/>
    </sheetView>
  </sheetViews>
  <sheetFormatPr defaultColWidth="10.5742857142857" defaultRowHeight="14.25" customHeight="1"/>
  <cols>
    <col min="1" max="1" width="10.5714285714286" style="1638" hidden="1"/>
    <col min="2" max="2" width="11" style="1638" hidden="1" customWidth="1"/>
    <col min="3" max="3" width="10.5714285714286" style="1638" hidden="1"/>
    <col min="4" max="4" width="11.8571428571429" style="1638" hidden="1" customWidth="1"/>
    <col min="5" max="5" width="10" style="1638" hidden="1" customWidth="1"/>
    <col min="6" max="6" width="8.71428571428571" style="1638" hidden="1" customWidth="1"/>
    <col min="7" max="7" width="7.57142857142857" style="1638" hidden="1" customWidth="1"/>
    <col min="8" max="8" width="11.4285714285714" style="1638" hidden="1" customWidth="1"/>
    <col min="9" max="9" width="12" style="1638" hidden="1" customWidth="1"/>
    <col min="10" max="10" width="9.85714285714286" style="1638" hidden="1" customWidth="1"/>
    <col min="11" max="11" width="11.4285714285714" style="1638" hidden="1" customWidth="1"/>
    <col min="12" max="12" width="19.1428571428571" style="2128" hidden="1" customWidth="1"/>
    <col min="13" max="14" width="12.2857142857143" style="2400" hidden="1" customWidth="1"/>
    <col min="15" max="15" width="23.4285714285714" style="2400" hidden="1" customWidth="1"/>
    <col min="16" max="16" width="3" style="2400" customWidth="1"/>
    <col min="17" max="18" width="3" style="347" customWidth="1"/>
    <col min="19" max="19" width="12" style="2410" customWidth="1"/>
    <col min="20" max="20" width="31" style="1638" customWidth="1"/>
    <col min="21" max="21" width="0.142857142857143" style="1638" customWidth="1"/>
    <col min="22" max="22" width="24.7142857142857" style="1638" hidden="1" customWidth="1"/>
    <col min="23" max="23" width="0.142857142857143" style="1638" hidden="1" customWidth="1"/>
    <col min="24" max="25" width="24.7142857142857" style="1638" hidden="1" customWidth="1"/>
    <col min="26" max="26" width="11.7142857142857" style="1638" hidden="1" customWidth="1"/>
    <col min="27" max="27" width="3.71428571428571" style="1638" hidden="1" customWidth="1"/>
    <col min="28" max="28" width="11.7142857142857" style="1638" hidden="1" customWidth="1"/>
    <col min="29" max="29" width="8.57142857142857" style="1638" hidden="1" customWidth="1"/>
    <col min="30" max="30" width="24.7142857142857" style="1638" customWidth="1"/>
    <col min="31" max="31" width="0.142857142857143" style="1638" customWidth="1"/>
    <col min="32" max="33" width="24" style="1638" customWidth="1"/>
    <col min="34" max="34" width="11" style="1638" customWidth="1"/>
    <col min="35" max="35" width="3.71428571428571" style="1638" customWidth="1"/>
    <col min="36" max="36" width="11" style="1638" customWidth="1"/>
    <col min="37" max="37" width="8.57142857142857" style="1638" hidden="1" customWidth="1"/>
    <col min="38" max="38" width="4" style="1638" customWidth="1"/>
    <col min="39" max="39" width="115" style="1638" customWidth="1"/>
    <col min="40" max="44" width="10" style="1645" customWidth="1"/>
    <col min="45" max="45" width="10.5714285714286" style="1638" hidden="1"/>
  </cols>
  <sheetData>
    <row r="1" spans="45:45" ht="22.5" customHeight="1" hidden="1">
      <c r="AS1" s="1634" t="s">
        <v>14</v>
      </c>
    </row>
    <row r="2" spans="1:45" ht="21" customHeight="1" hidden="1">
      <c r="A2" s="1270"/>
      <c s="1270"/>
      <c s="1270"/>
      <c s="1270"/>
      <c s="2292">
        <v>1</v>
      </c>
      <c s="1270"/>
      <c s="1270"/>
      <c s="1270"/>
      <c s="1270"/>
      <c s="1270"/>
      <c s="1270"/>
      <c s="1313"/>
      <c s="1613"/>
      <c s="1613"/>
      <c s="1613"/>
      <c s="1593"/>
      <c s="363"/>
      <c s="358"/>
      <c s="1961">
        <f>INDEX(PT_DIFFERENTIATION_NUM_NTAR,MATCH(A2,PT_DIFFERENTIATION_NTAR_ID,0))</f>
      </c>
      <c s="1528" t="s">
        <v>125</v>
      </c>
      <c s="303"/>
      <c s="2245"/>
      <c s="2246"/>
      <c s="2246"/>
      <c s="2246"/>
      <c s="2246"/>
      <c s="2246"/>
      <c s="2246"/>
      <c s="2247"/>
      <c s="2245">
        <f>INDEX(PT_DIFFERENTIATION_NTAR,MATCH(A2,PT_DIFFERENTIATION_NTAR_ID,0))</f>
      </c>
      <c s="2246"/>
      <c s="2246"/>
      <c s="2246"/>
      <c s="2246"/>
      <c s="2246"/>
      <c s="2246"/>
      <c s="2246"/>
      <c s="2247"/>
      <c s="1261" t="s">
        <v>396</v>
      </c>
      <c r="AO2" s="1627"/>
      <c s="1627" t="str">
        <f>IF(T2="","",T2)</f>
        <v>Наименование тарифа</v>
      </c>
      <c s="1627"/>
      <c s="1627"/>
      <c s="1634">
        <v>0</v>
      </c>
    </row>
    <row r="3" spans="1:45" ht="21" customHeight="1" hidden="1">
      <c r="A3" s="1270"/>
      <c s="1270"/>
      <c s="1270"/>
      <c s="1270"/>
      <c s="2293"/>
      <c s="2292">
        <v>1</v>
      </c>
      <c s="1270"/>
      <c s="1270"/>
      <c s="1270"/>
      <c s="1270"/>
      <c s="1270"/>
      <c s="1313"/>
      <c s="1613"/>
      <c s="1613"/>
      <c s="1613"/>
      <c s="1943"/>
      <c s="355"/>
      <c s="356"/>
      <c s="1961">
        <f>INDEX(PT_DIFFERENTIATION_NUM_TER,MATCH(B3,PT_DIFFERENTIATION_TER_ID,0))</f>
      </c>
      <c s="1525" t="s">
        <v>397</v>
      </c>
      <c s="303"/>
      <c s="2245"/>
      <c s="2246"/>
      <c s="2246"/>
      <c s="2246"/>
      <c s="2246"/>
      <c s="2246"/>
      <c s="2246"/>
      <c s="2247"/>
      <c s="2245">
        <f>INDEX(PT_DIFFERENTIATION_TER,MATCH(B3,PT_DIFFERENTIATION_TER_ID,0))</f>
      </c>
      <c s="2246"/>
      <c s="2246"/>
      <c s="2246"/>
      <c s="2246"/>
      <c s="2246"/>
      <c s="2246"/>
      <c s="2246"/>
      <c s="2247"/>
      <c s="1261" t="s">
        <v>398</v>
      </c>
      <c r="AO3" s="1627"/>
      <c s="1627" t="str">
        <f>IF(T3="","",T3)</f>
        <v>Территория действия тарифа</v>
      </c>
      <c s="1627"/>
      <c s="1627"/>
      <c s="1634">
        <v>0</v>
      </c>
    </row>
    <row r="4" spans="1:45" ht="23.25" customHeight="1" hidden="1">
      <c r="A4" s="1270"/>
      <c s="1270"/>
      <c s="1270"/>
      <c s="1270"/>
      <c s="2293"/>
      <c s="2293"/>
      <c s="2292">
        <v>1</v>
      </c>
      <c s="1270"/>
      <c s="1270"/>
      <c s="1270"/>
      <c s="1270"/>
      <c s="1313"/>
      <c s="1613"/>
      <c s="1613"/>
      <c s="1613"/>
      <c s="357"/>
      <c s="355"/>
      <c s="356"/>
      <c s="1961">
        <f>INDEX(PT_DIFFERENTIATION_NUM_CS,MATCH(C4,PT_DIFFERENTIATION_CS_ID,0))</f>
      </c>
      <c s="312" t="s">
        <v>399</v>
      </c>
      <c s="303"/>
      <c s="2245"/>
      <c s="2246"/>
      <c s="2246"/>
      <c s="2246"/>
      <c s="2246"/>
      <c s="2246"/>
      <c s="2246"/>
      <c s="2247"/>
      <c s="2245">
        <f>INDEX(PT_DIFFERENTIATION_CS,MATCH(C4,PT_DIFFERENTIATION_CS_ID,0))</f>
      </c>
      <c s="2246"/>
      <c s="2246"/>
      <c s="2246"/>
      <c s="2246"/>
      <c s="2246"/>
      <c s="2246"/>
      <c s="2246"/>
      <c s="2247"/>
      <c s="1261" t="s">
        <v>400</v>
      </c>
      <c r="AO4" s="1627"/>
      <c s="1627" t="str">
        <f>IF(T4="","",T4)</f>
        <v>Наименование системы теплоснабжения</v>
      </c>
      <c s="1627"/>
      <c s="1627"/>
      <c s="1634">
        <v>0</v>
      </c>
    </row>
    <row r="5" spans="1:45" ht="21" customHeight="1" hidden="1">
      <c r="A5" s="1270"/>
      <c s="1270"/>
      <c s="1270"/>
      <c s="1270"/>
      <c s="2293"/>
      <c s="2293"/>
      <c s="2293"/>
      <c s="2292">
        <v>1</v>
      </c>
      <c s="1270"/>
      <c s="1270"/>
      <c s="1270"/>
      <c s="1313"/>
      <c s="1613"/>
      <c s="1613"/>
      <c s="1613"/>
      <c s="357"/>
      <c s="355"/>
      <c s="356"/>
      <c s="1961">
        <f>INDEX(PT_DIFFERENTIATION_NUM_IST_TE,MATCH(D5,PT_DIFFERENTIATION_IST_TE_ID,0))</f>
      </c>
      <c s="313" t="s">
        <v>401</v>
      </c>
      <c s="303"/>
      <c s="2245"/>
      <c s="2246"/>
      <c s="2246"/>
      <c s="2246"/>
      <c s="2246"/>
      <c s="2246"/>
      <c s="2246"/>
      <c s="2247"/>
      <c s="2245">
        <f>INDEX(PT_DIFFERENTIATION_IST_TE,MATCH(D5,PT_DIFFERENTIATION_IST_TE_ID,0))</f>
      </c>
      <c s="2246"/>
      <c s="2246"/>
      <c s="2246"/>
      <c s="2246"/>
      <c s="2246"/>
      <c s="2246"/>
      <c s="2246"/>
      <c s="2247"/>
      <c s="1261" t="s">
        <v>402</v>
      </c>
      <c r="AO5" s="1627"/>
      <c s="1627" t="str">
        <f>IF(T5="","",T5)</f>
        <v>Источник тепловой энергии</v>
      </c>
      <c s="1627"/>
      <c s="1627"/>
      <c s="1634">
        <v>0</v>
      </c>
    </row>
    <row r="6" spans="1:45" ht="47.25" customHeight="1" hidden="1">
      <c r="A6" s="1270"/>
      <c s="1270"/>
      <c s="1270"/>
      <c s="1270"/>
      <c s="2293"/>
      <c s="2293"/>
      <c s="2293"/>
      <c s="2293"/>
      <c s="2130">
        <f>S5&amp;".1"</f>
      </c>
      <c s="1270"/>
      <c s="1270"/>
      <c s="1313" t="s">
        <v>403</v>
      </c>
      <c s="1638"/>
      <c r="P6" s="2260">
        <v>1</v>
      </c>
      <c s="1957"/>
      <c s="359"/>
      <c s="1961">
        <f>$I6</f>
      </c>
      <c s="288" t="s">
        <v>404</v>
      </c>
      <c s="303"/>
      <c s="2248"/>
      <c s="2249"/>
      <c s="2249"/>
      <c s="2249"/>
      <c s="2249"/>
      <c s="2249"/>
      <c s="2249"/>
      <c s="2250"/>
      <c s="2248"/>
      <c s="2249"/>
      <c s="2249"/>
      <c s="2249"/>
      <c s="2249"/>
      <c s="2249"/>
      <c s="2249"/>
      <c s="2249"/>
      <c s="2250"/>
      <c s="1261" t="s">
        <v>405</v>
      </c>
      <c r="AO6" s="1627"/>
      <c s="1627" t="str">
        <f>IF(T6="","",T6)</f>
        <v>Схема подключения теплопотребляющей установки к коллектору источника тепловой энергии</v>
      </c>
      <c s="1627"/>
      <c s="1627"/>
      <c s="1634">
        <v>0</v>
      </c>
    </row>
    <row r="7" spans="1:45" ht="21" customHeight="1" hidden="1">
      <c r="A7" s="1270"/>
      <c s="1270"/>
      <c s="1270"/>
      <c s="1270"/>
      <c s="2293"/>
      <c s="2293"/>
      <c s="2293"/>
      <c s="2293"/>
      <c s="2104"/>
      <c s="2130">
        <f>I6&amp;".1"</f>
      </c>
      <c s="1270"/>
      <c s="1313" t="s">
        <v>406</v>
      </c>
      <c s="1638"/>
      <c s="1634"/>
      <c r="P7" s="2260"/>
      <c s="2260">
        <v>1</v>
      </c>
      <c s="360"/>
      <c s="1961">
        <f>$J7</f>
      </c>
      <c s="289" t="s">
        <v>407</v>
      </c>
      <c s="303"/>
      <c s="2248"/>
      <c s="2249"/>
      <c s="2249"/>
      <c s="2249"/>
      <c s="2249"/>
      <c s="2249"/>
      <c s="2249"/>
      <c s="2250"/>
      <c s="2248"/>
      <c s="2249"/>
      <c s="2249"/>
      <c s="2249"/>
      <c s="2249"/>
      <c s="2249"/>
      <c s="2249"/>
      <c s="2249"/>
      <c s="2250"/>
      <c s="1261" t="s">
        <v>408</v>
      </c>
      <c r="AO7" s="1627"/>
      <c s="1627" t="str">
        <f>IF(T7="","",T7)</f>
        <v>Группа потребителей</v>
      </c>
      <c s="1627"/>
      <c s="1627"/>
      <c s="1634">
        <v>0</v>
      </c>
    </row>
    <row r="8" spans="1:45" ht="21" customHeight="1" hidden="1">
      <c r="A8" s="1270"/>
      <c s="1270"/>
      <c s="1270"/>
      <c s="1270"/>
      <c s="2293"/>
      <c s="2293"/>
      <c s="2293"/>
      <c s="2293"/>
      <c s="2104"/>
      <c s="2104"/>
      <c s="2130">
        <f>J7&amp;".1"</f>
      </c>
      <c s="1313" t="s">
        <v>409</v>
      </c>
      <c s="1638"/>
      <c s="1634"/>
      <c s="1634"/>
      <c s="2260"/>
      <c s="2260"/>
      <c s="360">
        <v>1</v>
      </c>
      <c s="1961">
        <f>$K8</f>
      </c>
      <c s="1350"/>
      <c s="303"/>
      <c s="754"/>
      <c s="328"/>
      <c s="754"/>
      <c s="1260"/>
      <c s="2268"/>
      <c s="2110" t="s">
        <v>65</v>
      </c>
      <c s="2268"/>
      <c s="2110" t="s">
        <v>65</v>
      </c>
      <c s="754"/>
      <c s="328"/>
      <c s="754"/>
      <c s="1260"/>
      <c s="2268"/>
      <c s="2110" t="s">
        <v>65</v>
      </c>
      <c s="2268"/>
      <c s="2110" t="s">
        <v>65</v>
      </c>
      <c s="328"/>
      <c s="2256" t="s">
        <v>410</v>
      </c>
      <c s="1639">
        <f>STRCHECKDATE(V9:AL9)</f>
      </c>
      <c s="1627"/>
      <c s="1627" t="str">
        <f>IF(T8="","",T8)</f>
        <v/>
      </c>
      <c s="1627"/>
      <c s="1627"/>
      <c s="1634">
        <v>0</v>
      </c>
    </row>
    <row r="9" spans="1:45" ht="0.75" customHeight="1" hidden="1">
      <c r="A9" s="1270"/>
      <c s="1270"/>
      <c s="1270"/>
      <c s="1270"/>
      <c s="2293"/>
      <c s="2293"/>
      <c s="2293"/>
      <c s="2293"/>
      <c s="2104"/>
      <c s="2104"/>
      <c s="2130"/>
      <c s="1313"/>
      <c s="1638"/>
      <c s="1634"/>
      <c s="1634"/>
      <c s="2260"/>
      <c s="2260"/>
      <c s="360"/>
      <c s="1970"/>
      <c s="303"/>
      <c s="303"/>
      <c s="328"/>
      <c s="328"/>
      <c s="328"/>
      <c s="331" t="str">
        <f>Z8&amp;"-"&amp;AB8</f>
        <v>-</v>
      </c>
      <c s="2269"/>
      <c s="2110"/>
      <c s="2269"/>
      <c s="2110"/>
      <c s="328"/>
      <c s="328"/>
      <c s="328"/>
      <c s="331" t="str">
        <f>AH8&amp;"-"&amp;AJ8</f>
        <v>-</v>
      </c>
      <c s="2269"/>
      <c s="2110"/>
      <c s="2269"/>
      <c s="2110"/>
      <c s="328"/>
      <c s="2257"/>
      <c r="AO9" s="1627"/>
      <c s="1627" t="str">
        <f>IF(T9="","",T9)</f>
        <v/>
      </c>
      <c s="1627"/>
      <c s="1627"/>
      <c s="1634">
        <v>0</v>
      </c>
    </row>
    <row r="10" spans="1:45" ht="15" customHeight="1" hidden="1">
      <c r="A10" s="1270"/>
      <c s="1270"/>
      <c s="1270"/>
      <c s="1270"/>
      <c s="2293"/>
      <c s="2293"/>
      <c s="2293"/>
      <c s="2293"/>
      <c s="2104"/>
      <c s="2130"/>
      <c s="1270"/>
      <c s="1313"/>
      <c s="1638"/>
      <c s="1634"/>
      <c r="P10" s="2260"/>
      <c s="2260"/>
      <c s="359"/>
      <c s="1281"/>
      <c s="291" t="s">
        <v>411</v>
      </c>
      <c s="603"/>
      <c s="603"/>
      <c s="603"/>
      <c s="603"/>
      <c s="603"/>
      <c s="603"/>
      <c s="603"/>
      <c s="603"/>
      <c s="603"/>
      <c s="603"/>
      <c s="603"/>
      <c s="603"/>
      <c s="603"/>
      <c s="603"/>
      <c s="603"/>
      <c s="603"/>
      <c s="603"/>
      <c s="327"/>
      <c s="2258"/>
      <c r="AO10" s="1627"/>
      <c s="1627" t="str">
        <f>IF(T10="","",T10)</f>
        <v>Добавить вид теплоносителя (параметры теплоносителя)</v>
      </c>
      <c s="1627"/>
      <c s="1627"/>
      <c s="1634">
        <v>0</v>
      </c>
    </row>
    <row r="11" spans="1:45" ht="15" customHeight="1" hidden="1">
      <c r="A11" s="1270"/>
      <c s="1270"/>
      <c s="1270"/>
      <c s="1270"/>
      <c s="2293"/>
      <c s="2293"/>
      <c s="2293"/>
      <c s="2293"/>
      <c s="2130"/>
      <c s="1270"/>
      <c s="1270"/>
      <c s="1313"/>
      <c s="1638"/>
      <c r="P11" s="2260"/>
      <c s="1957"/>
      <c s="359"/>
      <c s="1281"/>
      <c s="290" t="s">
        <v>412</v>
      </c>
      <c s="603"/>
      <c s="603"/>
      <c s="603"/>
      <c s="603"/>
      <c s="603"/>
      <c s="603"/>
      <c s="603"/>
      <c s="603"/>
      <c s="369"/>
      <c s="603"/>
      <c s="603"/>
      <c s="603"/>
      <c s="603"/>
      <c s="603"/>
      <c s="603"/>
      <c s="603"/>
      <c s="369"/>
      <c s="603"/>
      <c s="306"/>
      <c r="AO11" s="1627"/>
      <c s="1627" t="str">
        <f>IF(T11="","",T11)</f>
        <v>Добавить группу потребителей</v>
      </c>
      <c s="1627"/>
      <c s="1627"/>
      <c s="1634">
        <v>0</v>
      </c>
    </row>
    <row r="12" spans="1:45" ht="14.25" customHeight="1" hidden="1">
      <c r="A12" s="1270"/>
      <c s="1270"/>
      <c s="1270"/>
      <c s="1270"/>
      <c s="2293"/>
      <c s="2293"/>
      <c s="2293"/>
      <c s="2292"/>
      <c s="1270"/>
      <c s="1270"/>
      <c s="1270"/>
      <c s="1313"/>
      <c s="1613"/>
      <c s="1613"/>
      <c s="1638"/>
      <c s="363"/>
      <c s="378"/>
      <c s="358"/>
      <c s="1281"/>
      <c s="368" t="s">
        <v>413</v>
      </c>
      <c s="603"/>
      <c s="603"/>
      <c s="603"/>
      <c s="603"/>
      <c s="603"/>
      <c s="603"/>
      <c s="603"/>
      <c s="603"/>
      <c s="369"/>
      <c s="603"/>
      <c s="603"/>
      <c s="603"/>
      <c s="603"/>
      <c s="603"/>
      <c s="603"/>
      <c s="603"/>
      <c s="369"/>
      <c s="603"/>
      <c s="306"/>
      <c r="AO12" s="1627"/>
      <c s="1627" t="str">
        <f>IF(T12="","",T12)</f>
        <v>Добавить схему подключения</v>
      </c>
      <c s="1627"/>
      <c s="1627"/>
      <c s="1634">
        <v>0</v>
      </c>
    </row>
    <row r="13" spans="1:45" s="1645" customFormat="1" ht="0.75" customHeight="1" hidden="1">
      <c r="A13" s="1377"/>
      <c s="1377"/>
      <c s="1377"/>
      <c s="1377"/>
      <c s="2293"/>
      <c s="2293"/>
      <c s="2292"/>
      <c s="1377"/>
      <c s="1377"/>
      <c s="1377"/>
      <c s="1377"/>
      <c s="1380"/>
      <c s="1381"/>
      <c s="1381"/>
      <c s="354"/>
      <c s="1319"/>
      <c s="1320"/>
      <c s="1319"/>
      <c s="1321"/>
      <c s="1322" t="s">
        <v>414</v>
      </c>
      <c s="1323"/>
      <c s="1323"/>
      <c s="1323"/>
      <c s="1323"/>
      <c s="1323"/>
      <c s="1323"/>
      <c s="1323"/>
      <c s="1323"/>
      <c s="1323"/>
      <c s="1323"/>
      <c s="1323"/>
      <c s="1323"/>
      <c s="1323"/>
      <c s="1323"/>
      <c s="1323"/>
      <c s="1323"/>
      <c s="1323"/>
      <c s="1323"/>
      <c s="1323"/>
      <c r="AO13" s="1254"/>
      <c s="1254" t="str">
        <f>IF(T13="","",T13)</f>
        <v>Добавить источник для дифференциации</v>
      </c>
      <c s="1254"/>
      <c s="1254"/>
      <c s="1645">
        <v>0</v>
      </c>
    </row>
    <row r="14" spans="1:45" s="1645" customFormat="1" ht="0.75" customHeight="1" hidden="1">
      <c r="A14" s="1377"/>
      <c s="1377"/>
      <c s="1377"/>
      <c s="1377"/>
      <c s="2293"/>
      <c s="2292"/>
      <c s="1377"/>
      <c s="1377"/>
      <c s="1377"/>
      <c s="1377"/>
      <c s="1377"/>
      <c s="1380"/>
      <c s="1382"/>
      <c s="1382"/>
      <c s="354"/>
      <c s="1319"/>
      <c s="1320"/>
      <c s="1319"/>
      <c s="1325"/>
      <c s="1326" t="s">
        <v>415</v>
      </c>
      <c s="1327"/>
      <c s="1327"/>
      <c s="1327"/>
      <c s="1327"/>
      <c s="1327"/>
      <c s="1327"/>
      <c s="1327"/>
      <c s="1327"/>
      <c s="1327"/>
      <c s="1327"/>
      <c s="1327"/>
      <c s="1327"/>
      <c s="1327"/>
      <c s="1327"/>
      <c s="1327"/>
      <c s="1327"/>
      <c s="1327"/>
      <c s="1327"/>
      <c s="1327"/>
      <c r="AO14" s="1254"/>
      <c s="1254" t="str">
        <f>IF(T14="","",T14)</f>
        <v>Добавить централизованную систему для дифференциации</v>
      </c>
      <c s="1254"/>
      <c s="1254"/>
      <c s="1645">
        <v>0</v>
      </c>
    </row>
    <row r="15" spans="1:45" s="1645" customFormat="1" ht="0.75" customHeight="1" hidden="1">
      <c r="A15" s="1377"/>
      <c s="1377"/>
      <c s="1377"/>
      <c s="1377"/>
      <c s="2292"/>
      <c s="1377"/>
      <c s="1377"/>
      <c s="1377"/>
      <c s="1377"/>
      <c s="1377"/>
      <c s="1377"/>
      <c s="1380"/>
      <c s="1382"/>
      <c s="1382"/>
      <c s="354"/>
      <c s="1319"/>
      <c s="1320"/>
      <c s="1319"/>
      <c s="1325"/>
      <c s="1328" t="s">
        <v>416</v>
      </c>
      <c s="1327"/>
      <c s="1327"/>
      <c s="1327"/>
      <c s="1327"/>
      <c s="1327"/>
      <c s="1327"/>
      <c s="1327"/>
      <c s="1327"/>
      <c s="1327"/>
      <c s="1327"/>
      <c s="1327"/>
      <c s="1327"/>
      <c s="1327"/>
      <c s="1327"/>
      <c s="1327"/>
      <c s="1327"/>
      <c s="1327"/>
      <c s="1327"/>
      <c s="1327"/>
      <c r="AO15" s="1254"/>
      <c s="1254" t="str">
        <f>IF(T15="","",T15)</f>
        <v>Добавить территорию для дифференциации</v>
      </c>
      <c s="1254"/>
      <c s="1254"/>
      <c s="1645">
        <v>0</v>
      </c>
    </row>
    <row r="16" spans="45:45" ht="14.25" customHeight="1" hidden="1">
      <c r="AS16" s="1634">
        <v>0</v>
      </c>
    </row>
    <row r="17" spans="30:45" ht="14.25" customHeight="1" hidden="1">
      <c r="AD17" s="1363"/>
      <c s="1363"/>
      <c s="1363"/>
      <c s="1364"/>
      <c s="2270"/>
      <c s="2271" t="s">
        <v>65</v>
      </c>
      <c s="2270"/>
      <c s="2271" t="s">
        <v>65</v>
      </c>
      <c r="AS17" s="1634">
        <v>0</v>
      </c>
    </row>
    <row r="18" spans="30:45" ht="14.25" customHeight="1" hidden="1">
      <c r="AD18" s="1363"/>
      <c s="1363"/>
      <c s="1363"/>
      <c s="331" t="str">
        <f>AH17&amp;"-"&amp;AJ17</f>
        <v>-</v>
      </c>
      <c s="2271"/>
      <c s="2271"/>
      <c s="2271"/>
      <c s="2271"/>
      <c r="AS18" s="1634">
        <v>0</v>
      </c>
    </row>
    <row r="19" spans="45:45" ht="14.25" customHeight="1" hidden="1">
      <c r="AS19" s="1634">
        <v>0</v>
      </c>
    </row>
    <row r="20" spans="1:45" s="1369" customFormat="1" ht="14.25" customHeight="1" hidden="1">
      <c r="A20" s="1634"/>
      <c s="1634"/>
      <c s="1634"/>
      <c s="1634"/>
      <c s="1634"/>
      <c s="1634"/>
      <c s="1634"/>
      <c s="1634"/>
      <c s="1634"/>
      <c s="1634"/>
      <c s="1634"/>
      <c s="1942"/>
      <c s="1968"/>
      <c s="1968"/>
      <c s="1348" t="s">
        <v>417</v>
      </c>
      <c s="1365"/>
      <c s="1374"/>
      <c s="1374"/>
      <c s="732"/>
      <c r="Z20" s="1370"/>
      <c r="AB20" s="1370"/>
      <c r="AH20" s="1370"/>
      <c r="AJ20" s="1370"/>
      <c r="AN20" s="1639"/>
      <c s="1639"/>
      <c s="1639"/>
      <c s="1639"/>
      <c s="1639"/>
      <c s="1369">
        <v>0</v>
      </c>
    </row>
    <row r="21" spans="1:45" s="1369" customFormat="1" ht="14.25" customHeight="1" hidden="1">
      <c r="A21" s="1634"/>
      <c s="1634"/>
      <c s="1634"/>
      <c s="1634"/>
      <c s="1634"/>
      <c s="1634"/>
      <c s="1634"/>
      <c s="1634"/>
      <c s="1634"/>
      <c s="1634"/>
      <c s="1634"/>
      <c s="1942"/>
      <c s="1968"/>
      <c s="1968"/>
      <c s="1968"/>
      <c s="1365"/>
      <c s="1374"/>
      <c s="1374"/>
      <c s="732"/>
      <c r="AN21" s="1639"/>
      <c s="1639"/>
      <c s="1639"/>
      <c s="1639"/>
      <c s="1639"/>
      <c s="1369">
        <v>0</v>
      </c>
    </row>
    <row r="22" spans="1:45" s="1369" customFormat="1" ht="14.25" customHeight="1" hidden="1">
      <c r="A22" s="1634"/>
      <c s="1634"/>
      <c s="1634"/>
      <c s="1634"/>
      <c s="1634"/>
      <c s="1634"/>
      <c s="1634"/>
      <c s="1634"/>
      <c s="1634"/>
      <c s="1634"/>
      <c s="1634"/>
      <c s="1942"/>
      <c s="1968"/>
      <c s="1968"/>
      <c s="1313" t="s">
        <v>418</v>
      </c>
      <c s="1365"/>
      <c s="1374"/>
      <c s="1374"/>
      <c s="732"/>
      <c s="1369" t="s">
        <v>419</v>
      </c>
      <c r="AA22" s="598" t="s">
        <v>420</v>
      </c>
      <c r="AC22" s="598" t="s">
        <v>421</v>
      </c>
      <c s="1369" t="s">
        <v>419</v>
      </c>
      <c r="AI22" s="598" t="s">
        <v>422</v>
      </c>
      <c r="AK22" s="598" t="s">
        <v>421</v>
      </c>
      <c r="AN22" s="1639"/>
      <c s="1639"/>
      <c s="1639"/>
      <c s="1639"/>
      <c s="1639"/>
      <c s="1369">
        <v>0</v>
      </c>
    </row>
    <row r="23" spans="15:45" ht="14.25" customHeight="1" hidden="1">
      <c r="O23" s="1313"/>
      <c r="AS23" s="1634">
        <v>0</v>
      </c>
    </row>
    <row r="24" spans="15:45" ht="14.25" customHeight="1" hidden="1">
      <c r="O24" s="1313"/>
      <c r="AS24" s="1634">
        <v>0</v>
      </c>
    </row>
    <row r="25" spans="17:45" ht="14.7" customHeight="1">
      <c r="Q25" s="379"/>
      <c s="379"/>
      <c s="1278"/>
      <c s="460"/>
      <c s="460"/>
      <c s="1638"/>
      <c s="1638"/>
      <c s="1638"/>
      <c s="1638"/>
      <c s="1638"/>
      <c s="1638"/>
      <c s="1638"/>
      <c s="1638"/>
      <c s="1638"/>
      <c s="1638"/>
      <c s="1638"/>
      <c s="1638"/>
      <c s="1638"/>
      <c s="1638"/>
      <c s="1638"/>
      <c s="1638"/>
      <c r="AS25" s="1634">
        <v>14</v>
      </c>
    </row>
    <row r="26" spans="17:45" ht="14.7" customHeight="1">
      <c r="Q26" s="379"/>
      <c s="379"/>
      <c s="2251"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s="2251"/>
      <c s="2251"/>
      <c s="2251"/>
      <c s="2251"/>
      <c s="2251"/>
      <c s="2251"/>
      <c s="2251"/>
      <c s="2251"/>
      <c s="2251"/>
      <c s="2251"/>
      <c s="2251"/>
      <c s="2251"/>
      <c s="2251"/>
      <c s="2251"/>
      <c s="2251"/>
      <c s="2251"/>
      <c s="2251"/>
      <c s="1246"/>
      <c r="AS26" s="1634">
        <v>14</v>
      </c>
    </row>
    <row r="27" spans="17:45" ht="14.7" customHeight="1">
      <c r="Q27" s="379"/>
      <c s="379"/>
      <c s="2252" t="str">
        <f>IF(org=0,"Не определено",org)</f>
        <v>ГУП КК "Кубаньводкомплекс"</v>
      </c>
      <c s="2252"/>
      <c s="2252"/>
      <c s="2252"/>
      <c s="2252"/>
      <c s="2252"/>
      <c s="2252"/>
      <c s="2252"/>
      <c s="2252"/>
      <c s="2252"/>
      <c s="2252"/>
      <c s="2252"/>
      <c s="2252"/>
      <c s="2252"/>
      <c s="2252"/>
      <c s="2252"/>
      <c s="2252"/>
      <c s="2252"/>
      <c s="1246"/>
      <c r="AS27" s="1634">
        <v>14</v>
      </c>
    </row>
    <row r="28" spans="17:45" ht="14.25" customHeight="1" hidden="1">
      <c r="Q28" s="379"/>
      <c s="379"/>
      <c s="1278"/>
      <c s="460"/>
      <c s="460"/>
      <c s="325"/>
      <c s="325"/>
      <c s="325"/>
      <c s="325"/>
      <c s="325"/>
      <c s="325"/>
      <c s="325"/>
      <c s="325"/>
      <c s="325"/>
      <c s="325"/>
      <c s="325"/>
      <c s="325"/>
      <c s="325"/>
      <c s="325"/>
      <c s="325"/>
      <c s="325"/>
      <c s="1638"/>
      <c r="AS28" s="1634">
        <v>0</v>
      </c>
    </row>
    <row r="29" spans="1:45" s="1856" customFormat="1" ht="25.5" customHeight="1" hidden="1">
      <c r="A29" s="1251"/>
      <c s="1251"/>
      <c s="1251"/>
      <c s="1251"/>
      <c s="1251"/>
      <c s="1251"/>
      <c s="1251"/>
      <c s="1251"/>
      <c s="1251"/>
      <c s="1251"/>
      <c s="1251"/>
      <c s="1383"/>
      <c s="1251"/>
      <c s="1251"/>
      <c s="1251"/>
      <c r="S29" s="2253" t="s">
        <v>42</v>
      </c>
      <c s="2253"/>
      <c s="1375"/>
      <c s="2254" t="str">
        <f>IF(TITLE_NAME_OR_PR_CHANGE="",IF(TITLE_NAME_OR_PR="","",TITLE_NAME_OR_PR),TITLE_NAME_OR_PR_CHANGE)</f>
        <v/>
      </c>
      <c s="2254"/>
      <c s="2254"/>
      <c s="2254"/>
      <c s="2254"/>
      <c s="2254"/>
      <c s="2254"/>
      <c s="1638"/>
      <c s="2254" t="str">
        <f>IF(TITLE_NAME_OR_PR_CHANGE="",IF(TITLE_NAME_OR_PR="","",TITLE_NAME_OR_PR),TITLE_NAME_OR_PR_CHANGE)</f>
        <v/>
      </c>
      <c s="2254"/>
      <c s="2254"/>
      <c s="2254"/>
      <c s="2254"/>
      <c s="2254"/>
      <c s="2254"/>
      <c s="1638"/>
      <c s="1638"/>
      <c s="283"/>
      <c s="371"/>
      <c s="371"/>
      <c s="371"/>
      <c s="371"/>
      <c s="371"/>
      <c s="421">
        <v>0</v>
      </c>
    </row>
    <row r="30" spans="1:45" s="1856" customFormat="1" ht="18.75" customHeight="1" hidden="1">
      <c r="A30" s="1251"/>
      <c s="1251"/>
      <c s="1251"/>
      <c s="1251"/>
      <c s="1251"/>
      <c s="1251"/>
      <c s="1251"/>
      <c s="1251"/>
      <c s="1251"/>
      <c s="1251"/>
      <c s="1251"/>
      <c s="1383"/>
      <c s="1251"/>
      <c s="1251"/>
      <c s="1251"/>
      <c r="S30" s="2253" t="s">
        <v>423</v>
      </c>
      <c s="2253"/>
      <c s="1375"/>
      <c s="2267" t="str">
        <f>IF(TITLE_DATE_PR_CHANGE="",IF(TITLE_DATE_PR="","",TITLE_DATE_PR),TITLE_DATE_PR_CHANGE)</f>
        <v/>
      </c>
      <c s="2267"/>
      <c s="2267"/>
      <c s="2267"/>
      <c s="2267"/>
      <c s="2267"/>
      <c s="2267"/>
      <c s="1638"/>
      <c s="2267" t="str">
        <f>IF(TITLE_DATE_PR_CHANGE="",IF(TITLE_DATE_PR="","",TITLE_DATE_PR),TITLE_DATE_PR_CHANGE)</f>
        <v/>
      </c>
      <c s="2267"/>
      <c s="2267"/>
      <c s="2267"/>
      <c s="2267"/>
      <c s="2267"/>
      <c s="2267"/>
      <c s="1638"/>
      <c s="1638"/>
      <c s="283"/>
      <c s="371"/>
      <c s="371"/>
      <c s="371"/>
      <c s="371"/>
      <c s="371"/>
      <c s="421">
        <v>0</v>
      </c>
    </row>
    <row r="31" spans="1:45" s="1856" customFormat="1" ht="18.75" customHeight="1" hidden="1">
      <c r="A31" s="1251"/>
      <c s="1251"/>
      <c s="1251"/>
      <c s="1251"/>
      <c s="1251"/>
      <c s="1251"/>
      <c s="1251"/>
      <c s="1251"/>
      <c s="1251"/>
      <c s="1251"/>
      <c s="1251"/>
      <c s="1383"/>
      <c s="1251"/>
      <c s="1251"/>
      <c s="1251"/>
      <c r="S31" s="2253" t="s">
        <v>424</v>
      </c>
      <c s="2253"/>
      <c s="1375"/>
      <c s="2254" t="str">
        <f>IF(TITLE_NUMBER_PR_CHANGE="",IF(TITLE_NUMBER_PR="","",TITLE_NUMBER_PR),TITLE_NUMBER_PR_CHANGE)</f>
        <v/>
      </c>
      <c s="2254"/>
      <c s="2254"/>
      <c s="2254"/>
      <c s="2254"/>
      <c s="2254"/>
      <c s="2254"/>
      <c s="1638"/>
      <c s="2254" t="str">
        <f>IF(TITLE_NUMBER_PR_CHANGE="",IF(TITLE_NUMBER_PR="","",TITLE_NUMBER_PR),TITLE_NUMBER_PR_CHANGE)</f>
        <v/>
      </c>
      <c s="2254"/>
      <c s="2254"/>
      <c s="2254"/>
      <c s="2254"/>
      <c s="2254"/>
      <c s="2254"/>
      <c s="1638"/>
      <c s="1638"/>
      <c s="283"/>
      <c s="371"/>
      <c s="371"/>
      <c s="371"/>
      <c s="371"/>
      <c s="371"/>
      <c s="421">
        <v>0</v>
      </c>
    </row>
    <row r="32" spans="1:45" s="1856" customFormat="1" ht="18.75" customHeight="1" hidden="1">
      <c r="A32" s="1251"/>
      <c s="1251"/>
      <c s="1251"/>
      <c s="1251"/>
      <c s="1251"/>
      <c s="1251"/>
      <c s="1251"/>
      <c s="1251"/>
      <c s="1251"/>
      <c s="1251"/>
      <c s="1251"/>
      <c s="1383"/>
      <c s="1251"/>
      <c s="1251"/>
      <c s="1251"/>
      <c r="S32" s="2253" t="s">
        <v>43</v>
      </c>
      <c s="2253"/>
      <c s="1375"/>
      <c s="2254" t="str">
        <f>IF(TITLE_IST_PUB_CHANGE="",IF(TITLE_IST_PUB="","",TITLE_IST_PUB),TITLE_IST_PUB_CHANGE)</f>
        <v/>
      </c>
      <c s="2254"/>
      <c s="2254"/>
      <c s="2254"/>
      <c s="2254"/>
      <c s="2254"/>
      <c s="2254"/>
      <c s="1638"/>
      <c s="2254" t="str">
        <f>IF(TITLE_IST_PUB_CHANGE="",IF(TITLE_IST_PUB="","",TITLE_IST_PUB),TITLE_IST_PUB_CHANGE)</f>
        <v/>
      </c>
      <c s="2254"/>
      <c s="2254"/>
      <c s="2254"/>
      <c s="2254"/>
      <c s="2254"/>
      <c s="2254"/>
      <c s="1638"/>
      <c s="1638"/>
      <c s="283"/>
      <c s="371"/>
      <c s="371"/>
      <c s="371"/>
      <c s="371"/>
      <c s="371"/>
      <c s="421">
        <v>0</v>
      </c>
    </row>
    <row r="33" spans="17:45" ht="14.25" customHeight="1" hidden="1">
      <c r="Q33" s="379"/>
      <c s="379"/>
      <c s="1278"/>
      <c s="460"/>
      <c s="460"/>
      <c s="325"/>
      <c s="325"/>
      <c s="325"/>
      <c s="325"/>
      <c s="325"/>
      <c s="325"/>
      <c s="325"/>
      <c s="325"/>
      <c s="325"/>
      <c s="325"/>
      <c s="325"/>
      <c s="325"/>
      <c s="325"/>
      <c s="325"/>
      <c s="325"/>
      <c s="325"/>
      <c s="1638"/>
      <c r="AS33" s="1634">
        <v>0</v>
      </c>
    </row>
    <row r="34" spans="1:45" s="1856" customFormat="1" ht="18.75" customHeight="1" hidden="1">
      <c r="A34" s="1251"/>
      <c s="1251"/>
      <c s="1251"/>
      <c s="1251"/>
      <c s="1251"/>
      <c s="1251"/>
      <c s="1251"/>
      <c s="1251"/>
      <c s="1251"/>
      <c s="1251"/>
      <c s="1251"/>
      <c s="1383"/>
      <c s="1251"/>
      <c s="1251"/>
      <c s="1251"/>
      <c r="S34" s="2253" t="s">
        <v>425</v>
      </c>
      <c s="2253"/>
      <c s="1375"/>
      <c s="2267" t="str">
        <f>IF(TITLE_DATE_PR_CHANGE="",IF(TITLE_DATE_PR="","",TITLE_DATE_PR),TITLE_DATE_PR_CHANGE)</f>
        <v/>
      </c>
      <c s="2267"/>
      <c s="2267"/>
      <c s="2267"/>
      <c s="2267"/>
      <c s="2267"/>
      <c s="2267"/>
      <c s="1638"/>
      <c s="2267" t="str">
        <f>IF(TITLE_DATE_PR_CHANGE="",IF(TITLE_DATE_PR="","",TITLE_DATE_PR),TITLE_DATE_PR_CHANGE)</f>
        <v/>
      </c>
      <c s="2267"/>
      <c s="2267"/>
      <c s="2267"/>
      <c s="2267"/>
      <c s="2267"/>
      <c s="2267"/>
      <c s="1638"/>
      <c s="1638"/>
      <c s="283"/>
      <c s="371"/>
      <c s="371"/>
      <c s="371"/>
      <c s="371"/>
      <c s="371"/>
      <c s="421">
        <v>0</v>
      </c>
    </row>
    <row r="35" spans="1:45" s="1856" customFormat="1" ht="18.75" customHeight="1" hidden="1">
      <c r="A35" s="1251"/>
      <c s="1251"/>
      <c s="1251"/>
      <c s="1251"/>
      <c s="1251"/>
      <c s="1251"/>
      <c s="1251"/>
      <c s="1251"/>
      <c s="1251"/>
      <c s="1251"/>
      <c s="1251"/>
      <c s="1383"/>
      <c s="1251"/>
      <c s="1251"/>
      <c s="1251"/>
      <c r="S35" s="2253" t="s">
        <v>426</v>
      </c>
      <c s="2253"/>
      <c s="1375"/>
      <c s="2254" t="str">
        <f>IF(TITLE_NUMBER_PR_CHANGE="",IF(TITLE_NUMBER_PR="","",TITLE_NUMBER_PR),TITLE_NUMBER_PR_CHANGE)</f>
        <v/>
      </c>
      <c s="2254"/>
      <c s="2254"/>
      <c s="2254"/>
      <c s="2254"/>
      <c s="2254"/>
      <c s="2254"/>
      <c s="1638"/>
      <c s="2254" t="str">
        <f>IF(TITLE_NUMBER_PR_CHANGE="",IF(TITLE_NUMBER_PR="","",TITLE_NUMBER_PR),TITLE_NUMBER_PR_CHANGE)</f>
        <v/>
      </c>
      <c s="2254"/>
      <c s="2254"/>
      <c s="2254"/>
      <c s="2254"/>
      <c s="2254"/>
      <c s="2254"/>
      <c s="1638"/>
      <c s="1638"/>
      <c s="283"/>
      <c s="371"/>
      <c s="371"/>
      <c s="371"/>
      <c s="371"/>
      <c s="371"/>
      <c s="421">
        <v>0</v>
      </c>
    </row>
    <row r="36" spans="1:45" s="1856" customFormat="1" ht="0" customHeight="1">
      <c r="A36" s="1251"/>
      <c s="1251"/>
      <c s="1251"/>
      <c s="1251"/>
      <c s="1251"/>
      <c s="1251"/>
      <c s="1251"/>
      <c s="1251"/>
      <c s="1251"/>
      <c s="1251"/>
      <c s="1251"/>
      <c s="1383"/>
      <c s="1251"/>
      <c s="1251"/>
      <c s="1251"/>
      <c r="S36" s="1638"/>
      <c s="1638"/>
      <c s="1973"/>
      <c s="1638"/>
      <c s="1638"/>
      <c s="1638"/>
      <c s="1638"/>
      <c s="1638"/>
      <c s="1638"/>
      <c s="1638"/>
      <c s="1645" t="s">
        <v>427</v>
      </c>
      <c s="1638"/>
      <c s="1638"/>
      <c s="1638"/>
      <c s="1638"/>
      <c s="1638"/>
      <c s="1638"/>
      <c s="1638"/>
      <c s="1645" t="s">
        <v>427</v>
      </c>
      <c r="AN36" s="371"/>
      <c s="371"/>
      <c s="371"/>
      <c s="371"/>
      <c s="371"/>
      <c s="421">
        <v>0</v>
      </c>
    </row>
    <row r="37" spans="17:45" ht="14.7" customHeight="1">
      <c r="Q37" s="379"/>
      <c s="379"/>
      <c s="1278"/>
      <c s="460"/>
      <c s="1247"/>
      <c s="2255"/>
      <c s="2255"/>
      <c s="2255"/>
      <c s="2255"/>
      <c s="2255"/>
      <c s="2255"/>
      <c s="2255"/>
      <c s="2255"/>
      <c s="2255"/>
      <c s="2255"/>
      <c s="2255"/>
      <c s="2255"/>
      <c s="2255"/>
      <c s="2255"/>
      <c s="2255"/>
      <c s="2255"/>
      <c r="AS37" s="1634">
        <v>14</v>
      </c>
    </row>
    <row r="38" spans="17:45" ht="14.7" customHeight="1">
      <c r="Q38" s="379"/>
      <c s="379"/>
      <c s="2130" t="s">
        <v>300</v>
      </c>
      <c s="2130"/>
      <c s="2130"/>
      <c s="2130"/>
      <c s="2130"/>
      <c s="2130"/>
      <c s="2130"/>
      <c s="2130"/>
      <c s="2130"/>
      <c s="2130"/>
      <c s="2130"/>
      <c s="2130"/>
      <c s="2130"/>
      <c s="2130"/>
      <c s="2130"/>
      <c s="2130"/>
      <c s="2130"/>
      <c s="2130"/>
      <c s="2130"/>
      <c s="2130"/>
      <c s="2130" t="s">
        <v>301</v>
      </c>
      <c r="AS38" s="1634">
        <v>14</v>
      </c>
    </row>
    <row r="39" spans="17:45" ht="14.7" customHeight="1">
      <c r="Q39" s="379"/>
      <c s="379"/>
      <c s="2276" t="s">
        <v>87</v>
      </c>
      <c s="2212" t="s">
        <v>428</v>
      </c>
      <c s="340"/>
      <c s="2277" t="s">
        <v>429</v>
      </c>
      <c s="2278"/>
      <c s="2278"/>
      <c s="2278"/>
      <c s="2278"/>
      <c s="2278"/>
      <c s="2279"/>
      <c s="2280" t="s">
        <v>430</v>
      </c>
      <c s="2277" t="s">
        <v>429</v>
      </c>
      <c s="2278"/>
      <c s="2278"/>
      <c s="2278"/>
      <c s="2278"/>
      <c s="2278"/>
      <c s="2279"/>
      <c s="2280" t="s">
        <v>431</v>
      </c>
      <c s="2283" t="s">
        <v>432</v>
      </c>
      <c s="2130"/>
      <c r="AS39" s="1634">
        <v>14</v>
      </c>
    </row>
    <row r="40" spans="17:45" ht="35.7" customHeight="1">
      <c r="Q40" s="379"/>
      <c s="379"/>
      <c s="2276"/>
      <c s="2212"/>
      <c s="1034"/>
      <c s="2263" t="s">
        <v>433</v>
      </c>
      <c s="2286" t="s">
        <v>434</v>
      </c>
      <c s="2265" t="s">
        <v>435</v>
      </c>
      <c s="2266"/>
      <c s="2265" t="s">
        <v>449</v>
      </c>
      <c s="2272"/>
      <c s="2266"/>
      <c s="2281"/>
      <c s="2263" t="s">
        <v>433</v>
      </c>
      <c s="2286" t="s">
        <v>434</v>
      </c>
      <c s="2265" t="s">
        <v>435</v>
      </c>
      <c s="2266"/>
      <c s="2265" t="s">
        <v>436</v>
      </c>
      <c s="2272"/>
      <c s="2266"/>
      <c s="2281"/>
      <c s="2284"/>
      <c s="2130"/>
      <c r="AS40" s="1634">
        <v>34</v>
      </c>
    </row>
    <row r="41" spans="1:45" ht="35.7" customHeight="1">
      <c r="A41" s="1269"/>
      <c s="1269" t="s">
        <v>137</v>
      </c>
      <c s="1269" t="s">
        <v>138</v>
      </c>
      <c s="1269" t="s">
        <v>139</v>
      </c>
      <c s="1313" t="s">
        <v>437</v>
      </c>
      <c s="1313" t="s">
        <v>438</v>
      </c>
      <c s="1313" t="s">
        <v>439</v>
      </c>
      <c s="1313" t="s">
        <v>440</v>
      </c>
      <c s="1313" t="s">
        <v>441</v>
      </c>
      <c s="1313" t="s">
        <v>442</v>
      </c>
      <c s="1313" t="s">
        <v>443</v>
      </c>
      <c s="1313" t="s">
        <v>418</v>
      </c>
      <c r="Q41" s="379"/>
      <c s="379"/>
      <c s="2276"/>
      <c s="2212"/>
      <c s="305"/>
      <c s="2264"/>
      <c s="2287"/>
      <c s="1941" t="s">
        <v>444</v>
      </c>
      <c s="1941" t="s">
        <v>445</v>
      </c>
      <c s="1941" t="s">
        <v>446</v>
      </c>
      <c s="2273" t="s">
        <v>447</v>
      </c>
      <c s="2274"/>
      <c s="2282"/>
      <c s="2264"/>
      <c s="2287"/>
      <c s="1941" t="s">
        <v>444</v>
      </c>
      <c s="1941" t="s">
        <v>445</v>
      </c>
      <c s="1941" t="s">
        <v>446</v>
      </c>
      <c s="2273" t="s">
        <v>447</v>
      </c>
      <c s="2274"/>
      <c s="2282"/>
      <c s="2285"/>
      <c s="2130"/>
      <c r="AS41" s="1634">
        <v>34</v>
      </c>
    </row>
    <row r="42" spans="1:45" s="1644" customFormat="1" ht="11.25" customHeight="1" hidden="1">
      <c r="A42" s="1269"/>
      <c s="1269"/>
      <c s="1269"/>
      <c s="1269"/>
      <c s="1269"/>
      <c s="1269"/>
      <c s="1269"/>
      <c s="1269"/>
      <c s="1269"/>
      <c s="1269"/>
      <c s="1269"/>
      <c s="1313"/>
      <c s="1968"/>
      <c s="1968"/>
      <c s="1968"/>
      <c s="1249"/>
      <c s="1250"/>
      <c s="1257">
        <v>1</v>
      </c>
      <c s="1280" t="s">
        <v>109</v>
      </c>
      <c s="1258" t="s">
        <v>110</v>
      </c>
      <c s="1248" t="str">
        <f ca="1">OFFSET(U42,0,-1)</f>
        <v>2</v>
      </c>
      <c s="1959">
        <f ca="1">OFFSET(V42,0,-1)+1</f>
        <v>3</v>
      </c>
      <c s="1959"/>
      <c s="1959">
        <f ca="1">OFFSET(X42,0,-1)+1</f>
        <v>1</v>
      </c>
      <c s="1959">
        <f ca="1">OFFSET(Y42,0,-1)+1</f>
        <v>2</v>
      </c>
      <c s="1959">
        <f ca="1">OFFSET(Z42,0,-1)+1</f>
        <v>3</v>
      </c>
      <c s="2275">
        <f ca="1">OFFSET(AA42,0,-1)+1</f>
        <v>4</v>
      </c>
      <c s="2275"/>
      <c s="1959">
        <f ca="1">OFFSET(AC42,0,-2)+1</f>
        <v>5</v>
      </c>
      <c s="1959">
        <f ca="1">OFFSET(AD42,0,-1)+1</f>
        <v>6</v>
      </c>
      <c s="1959"/>
      <c s="1959">
        <f ca="1">OFFSET(AF42,0,-1)+1</f>
        <v>1</v>
      </c>
      <c s="1959">
        <f ca="1">OFFSET(AG42,0,-1)+1</f>
        <v>2</v>
      </c>
      <c s="1959">
        <f ca="1">OFFSET(AH42,0,-1)+1</f>
        <v>3</v>
      </c>
      <c s="2275">
        <f ca="1">OFFSET(AI42,0,-1)+1</f>
        <v>4</v>
      </c>
      <c s="2275"/>
      <c s="1959">
        <f ca="1">OFFSET(AK42,0,-2)+1</f>
        <v>5</v>
      </c>
      <c s="1248">
        <f ca="1">OFFSET(AL42,0,-1)</f>
        <v>5</v>
      </c>
      <c s="1959">
        <f ca="1">OFFSET(AM42,0,-1)+1</f>
        <v>6</v>
      </c>
      <c s="1639"/>
      <c s="1639"/>
      <c s="1639"/>
      <c s="1639"/>
      <c s="1639"/>
      <c s="1644">
        <v>0</v>
      </c>
    </row>
    <row r="43" spans="1:45" ht="22.05" customHeight="1">
      <c r="A43" s="1270" t="s">
        <v>212</v>
      </c>
      <c s="1270"/>
      <c s="1270"/>
      <c s="1270"/>
      <c s="2292">
        <v>1</v>
      </c>
      <c s="1270"/>
      <c s="1270"/>
      <c s="1270"/>
      <c s="1270"/>
      <c s="1270"/>
      <c s="1270"/>
      <c s="1313"/>
      <c s="1613"/>
      <c s="1613"/>
      <c s="1613"/>
      <c s="1593"/>
      <c s="363"/>
      <c s="358"/>
      <c s="1961">
        <f>INDEX(PT_DIFFERENTIATION_NUM_NTAR,MATCH(A43,PT_DIFFERENTIATION_NTAR_ID,0))</f>
        <v>0</v>
      </c>
      <c s="1528" t="s">
        <v>125</v>
      </c>
      <c s="303"/>
      <c s="2245"/>
      <c s="2246"/>
      <c s="2246"/>
      <c s="2246"/>
      <c s="2246"/>
      <c s="2246"/>
      <c s="2246"/>
      <c s="2247"/>
      <c s="2245" t="str">
        <f>INDEX(PT_DIFFERENTIATION_NTAR,MATCH(A43,PT_DIFFERENTIATION_NTAR_ID,0))</f>
        <v/>
      </c>
      <c s="2246"/>
      <c s="2246"/>
      <c s="2246"/>
      <c s="2246"/>
      <c s="2246"/>
      <c s="2246"/>
      <c s="2246"/>
      <c s="2247"/>
      <c s="1261"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1627"/>
      <c s="1627" t="str">
        <f>IF(T43="","",T43)</f>
        <v>Наименование тарифа</v>
      </c>
      <c s="1627"/>
      <c s="1627"/>
      <c s="1634">
        <v>21</v>
      </c>
    </row>
    <row r="44" spans="1:45" ht="22.05" customHeight="1">
      <c r="A44" s="1270" t="s">
        <v>212</v>
      </c>
      <c s="1270" t="s">
        <v>213</v>
      </c>
      <c s="1270"/>
      <c s="1270"/>
      <c s="2293"/>
      <c s="2292">
        <v>1</v>
      </c>
      <c s="1270"/>
      <c s="1270"/>
      <c s="1270"/>
      <c s="1270"/>
      <c s="1270"/>
      <c s="1313"/>
      <c s="1613"/>
      <c s="1613"/>
      <c s="1613"/>
      <c s="1943"/>
      <c s="355"/>
      <c s="356"/>
      <c s="1961" t="str">
        <f>INDEX(PT_DIFFERENTIATION_NUM_TER,MATCH(B44,PT_DIFFERENTIATION_TER_ID,0))</f>
        <v>.</v>
      </c>
      <c s="1525" t="s">
        <v>397</v>
      </c>
      <c s="303"/>
      <c s="2245"/>
      <c s="2246"/>
      <c s="2246"/>
      <c s="2246"/>
      <c s="2246"/>
      <c s="2246"/>
      <c s="2246"/>
      <c s="2247"/>
      <c s="2245" t="str">
        <f>INDEX(PT_DIFFERENTIATION_TER,MATCH(B44,PT_DIFFERENTIATION_TER_ID,0))</f>
        <v/>
      </c>
      <c s="2246"/>
      <c s="2246"/>
      <c s="2246"/>
      <c s="2246"/>
      <c s="2246"/>
      <c s="2246"/>
      <c s="2246"/>
      <c s="2247"/>
      <c s="1261" t="s">
        <v>398</v>
      </c>
      <c r="AO44" s="1627"/>
      <c s="1627" t="str">
        <f>IF(T44="","",T44)</f>
        <v>Территория действия тарифа</v>
      </c>
      <c s="1627"/>
      <c s="1627"/>
      <c s="1634">
        <v>21</v>
      </c>
    </row>
    <row r="45" spans="1:45" ht="24" customHeight="1">
      <c r="A45" s="1270" t="s">
        <v>212</v>
      </c>
      <c s="1270" t="s">
        <v>213</v>
      </c>
      <c s="1270" t="s">
        <v>214</v>
      </c>
      <c s="1270"/>
      <c s="2293"/>
      <c s="2293"/>
      <c s="2292">
        <v>1</v>
      </c>
      <c s="1270"/>
      <c s="1270"/>
      <c s="1270"/>
      <c s="1270"/>
      <c s="1313"/>
      <c s="1613"/>
      <c s="1613"/>
      <c s="1613"/>
      <c s="357"/>
      <c s="355"/>
      <c s="356"/>
      <c s="1961" t="str">
        <f>INDEX(PT_DIFFERENTIATION_NUM_CS,MATCH(C45,PT_DIFFERENTIATION_CS_ID,0))</f>
        <v>..</v>
      </c>
      <c s="312" t="s">
        <v>399</v>
      </c>
      <c s="303"/>
      <c s="2245"/>
      <c s="2246"/>
      <c s="2246"/>
      <c s="2246"/>
      <c s="2246"/>
      <c s="2246"/>
      <c s="2246"/>
      <c s="2247"/>
      <c s="2245" t="str">
        <f>INDEX(PT_DIFFERENTIATION_CS,MATCH(C45,PT_DIFFERENTIATION_CS_ID,0))</f>
        <v/>
      </c>
      <c s="2246"/>
      <c s="2246"/>
      <c s="2246"/>
      <c s="2246"/>
      <c s="2246"/>
      <c s="2246"/>
      <c s="2246"/>
      <c s="2247"/>
      <c s="1261" t="s">
        <v>400</v>
      </c>
      <c r="AO45" s="1627"/>
      <c s="1627" t="str">
        <f>IF(T45="","",T45)</f>
        <v>Наименование системы теплоснабжения</v>
      </c>
      <c s="1627"/>
      <c s="1627"/>
      <c s="1634">
        <v>23</v>
      </c>
    </row>
    <row r="46" spans="1:45" ht="22.05" customHeight="1">
      <c r="A46" s="1270" t="s">
        <v>212</v>
      </c>
      <c s="1270" t="s">
        <v>213</v>
      </c>
      <c s="1270" t="s">
        <v>214</v>
      </c>
      <c s="1270" t="s">
        <v>215</v>
      </c>
      <c s="2293"/>
      <c s="2293"/>
      <c s="2293"/>
      <c s="2292">
        <v>1</v>
      </c>
      <c s="1270"/>
      <c s="1270"/>
      <c s="1270"/>
      <c s="1313"/>
      <c s="1613"/>
      <c s="1613"/>
      <c s="1613"/>
      <c s="357"/>
      <c s="355"/>
      <c s="356"/>
      <c s="1961" t="str">
        <f>INDEX(PT_DIFFERENTIATION_NUM_IST_TE,MATCH(D46,PT_DIFFERENTIATION_IST_TE_ID,0))</f>
        <v>...</v>
      </c>
      <c s="313" t="s">
        <v>401</v>
      </c>
      <c s="303"/>
      <c s="2245"/>
      <c s="2246"/>
      <c s="2246"/>
      <c s="2246"/>
      <c s="2246"/>
      <c s="2246"/>
      <c s="2246"/>
      <c s="2247"/>
      <c s="2245" t="str">
        <f>INDEX(PT_DIFFERENTIATION_IST_TE,MATCH(D46,PT_DIFFERENTIATION_IST_TE_ID,0))</f>
        <v/>
      </c>
      <c s="2246"/>
      <c s="2246"/>
      <c s="2246"/>
      <c s="2246"/>
      <c s="2246"/>
      <c s="2246"/>
      <c s="2246"/>
      <c s="2247"/>
      <c s="1261" t="s">
        <v>402</v>
      </c>
      <c r="AO46" s="1627"/>
      <c s="1627" t="str">
        <f>IF(T46="","",T46)</f>
        <v>Источник тепловой энергии</v>
      </c>
      <c s="1627"/>
      <c s="1627"/>
      <c s="1634">
        <v>21</v>
      </c>
    </row>
    <row r="47" spans="1:45" ht="49.5" customHeight="1">
      <c r="A47" s="1270" t="s">
        <v>212</v>
      </c>
      <c s="1270" t="s">
        <v>213</v>
      </c>
      <c s="1270" t="s">
        <v>214</v>
      </c>
      <c s="1270" t="s">
        <v>215</v>
      </c>
      <c s="2293"/>
      <c s="2293"/>
      <c s="2293"/>
      <c s="2293"/>
      <c s="2130" t="str">
        <f>S46&amp;".1"</f>
        <v>....1</v>
      </c>
      <c s="1270"/>
      <c s="1270"/>
      <c s="1313" t="s">
        <v>403</v>
      </c>
      <c r="P47" s="2260">
        <v>1</v>
      </c>
      <c s="1957"/>
      <c s="359"/>
      <c s="1961" t="str">
        <f>$I47</f>
        <v>....1</v>
      </c>
      <c s="288" t="s">
        <v>404</v>
      </c>
      <c s="303"/>
      <c s="2248"/>
      <c s="2249"/>
      <c s="2249"/>
      <c s="2249"/>
      <c s="2249"/>
      <c s="2249"/>
      <c s="2249"/>
      <c s="2250"/>
      <c s="2248"/>
      <c s="2249"/>
      <c s="2249"/>
      <c s="2249"/>
      <c s="2249"/>
      <c s="2249"/>
      <c s="2249"/>
      <c s="2249"/>
      <c s="2250"/>
      <c s="1261" t="s">
        <v>405</v>
      </c>
      <c r="AO47" s="1627"/>
      <c s="1627" t="str">
        <f>IF(T47="","",T47)</f>
        <v>Схема подключения теплопотребляющей установки к коллектору источника тепловой энергии</v>
      </c>
      <c s="1627"/>
      <c s="1627"/>
      <c s="1634">
        <v>47</v>
      </c>
    </row>
    <row r="48" spans="1:45" ht="22.05" customHeight="1">
      <c r="A48" s="1270" t="s">
        <v>212</v>
      </c>
      <c s="1270" t="s">
        <v>213</v>
      </c>
      <c s="1270" t="s">
        <v>214</v>
      </c>
      <c s="1270" t="s">
        <v>215</v>
      </c>
      <c s="2293"/>
      <c s="2293"/>
      <c s="2293"/>
      <c s="2293"/>
      <c s="2104"/>
      <c s="2130" t="str">
        <f>I47&amp;".1"</f>
        <v>....1.1</v>
      </c>
      <c s="1270"/>
      <c s="1313" t="s">
        <v>406</v>
      </c>
      <c r="P48" s="2260"/>
      <c s="2260">
        <v>1</v>
      </c>
      <c s="360"/>
      <c s="1961" t="str">
        <f>$J48</f>
        <v>....1.1</v>
      </c>
      <c s="289" t="s">
        <v>407</v>
      </c>
      <c s="303"/>
      <c s="2248"/>
      <c s="2249"/>
      <c s="2249"/>
      <c s="2249"/>
      <c s="2249"/>
      <c s="2249"/>
      <c s="2249"/>
      <c s="2250"/>
      <c s="2248"/>
      <c s="2249"/>
      <c s="2249"/>
      <c s="2249"/>
      <c s="2249"/>
      <c s="2249"/>
      <c s="2249"/>
      <c s="2249"/>
      <c s="2250"/>
      <c s="1261" t="s">
        <v>408</v>
      </c>
      <c r="AO48" s="1627"/>
      <c s="1627" t="str">
        <f>IF(T48="","",T48)</f>
        <v>Группа потребителей</v>
      </c>
      <c s="1627"/>
      <c s="1627"/>
      <c s="1634">
        <v>21</v>
      </c>
    </row>
    <row r="49" spans="1:45" ht="22.05" customHeight="1">
      <c r="A49" s="1270" t="s">
        <v>212</v>
      </c>
      <c s="1270" t="s">
        <v>213</v>
      </c>
      <c s="1270" t="s">
        <v>214</v>
      </c>
      <c s="1270" t="s">
        <v>215</v>
      </c>
      <c s="2293"/>
      <c s="2293"/>
      <c s="2293"/>
      <c s="2293"/>
      <c s="2104"/>
      <c s="2104"/>
      <c s="2130" t="str">
        <f>J48&amp;".1"</f>
        <v>....1.1.1</v>
      </c>
      <c s="1313" t="s">
        <v>409</v>
      </c>
      <c r="P49" s="2260"/>
      <c s="2260"/>
      <c s="360">
        <v>1</v>
      </c>
      <c s="1961" t="str">
        <f>$K49</f>
        <v>....1.1.1</v>
      </c>
      <c s="1350"/>
      <c s="303"/>
      <c s="754"/>
      <c s="328"/>
      <c s="754"/>
      <c s="1260"/>
      <c s="2268"/>
      <c s="2110" t="s">
        <v>65</v>
      </c>
      <c s="2268"/>
      <c s="2110" t="s">
        <v>65</v>
      </c>
      <c s="754"/>
      <c s="328"/>
      <c s="754"/>
      <c s="1260"/>
      <c s="2268"/>
      <c s="2110" t="s">
        <v>65</v>
      </c>
      <c s="2290"/>
      <c s="2110" t="s">
        <v>65</v>
      </c>
      <c s="1351"/>
      <c s="2256" t="s">
        <v>410</v>
      </c>
      <c s="1639">
        <f>STRCHECKDATE(V50:AL50)</f>
      </c>
      <c s="1627"/>
      <c s="1627" t="str">
        <f>IF(T49="","",T49)</f>
        <v/>
      </c>
      <c s="1627"/>
      <c s="1627"/>
      <c s="1634">
        <v>21</v>
      </c>
    </row>
    <row r="50" spans="1:45" ht="1.05" customHeight="1">
      <c r="A50" s="1270" t="s">
        <v>212</v>
      </c>
      <c s="1270" t="s">
        <v>213</v>
      </c>
      <c s="1270" t="s">
        <v>214</v>
      </c>
      <c s="1270" t="s">
        <v>215</v>
      </c>
      <c s="2293"/>
      <c s="2293"/>
      <c s="2293"/>
      <c s="2293"/>
      <c s="2104"/>
      <c s="2104"/>
      <c s="2130"/>
      <c s="1313"/>
      <c r="P50" s="2260"/>
      <c s="2260"/>
      <c s="360"/>
      <c s="1970"/>
      <c s="303"/>
      <c s="303"/>
      <c s="328"/>
      <c s="328"/>
      <c s="328"/>
      <c s="331" t="str">
        <f>Z49&amp;"-"&amp;AB49</f>
        <v>-</v>
      </c>
      <c s="2269"/>
      <c s="2110"/>
      <c s="2269"/>
      <c s="2110"/>
      <c s="328"/>
      <c s="328"/>
      <c s="328"/>
      <c s="331" t="str">
        <f>AH49&amp;"-"&amp;AJ49</f>
        <v>-</v>
      </c>
      <c s="2269"/>
      <c s="2110"/>
      <c s="2291"/>
      <c s="2110"/>
      <c s="1352"/>
      <c s="2257"/>
      <c r="AO50" s="1627"/>
      <c s="1627" t="str">
        <f>IF(T50="","",T50)</f>
        <v/>
      </c>
      <c s="1627"/>
      <c s="1627"/>
      <c s="1634">
        <v>1</v>
      </c>
    </row>
    <row r="51" spans="1:45" ht="11.55" customHeight="1">
      <c r="A51" s="1270" t="s">
        <v>212</v>
      </c>
      <c s="1270" t="s">
        <v>213</v>
      </c>
      <c s="1270" t="s">
        <v>214</v>
      </c>
      <c s="1270" t="s">
        <v>215</v>
      </c>
      <c s="2293"/>
      <c s="2293"/>
      <c s="2293"/>
      <c s="2293"/>
      <c s="2104"/>
      <c s="2130"/>
      <c s="1270"/>
      <c s="1313"/>
      <c r="P51" s="2260"/>
      <c s="2260"/>
      <c s="359"/>
      <c s="1281"/>
      <c s="291" t="s">
        <v>411</v>
      </c>
      <c s="603"/>
      <c s="603"/>
      <c s="603"/>
      <c s="603"/>
      <c s="603"/>
      <c s="603"/>
      <c s="603"/>
      <c s="603"/>
      <c s="603"/>
      <c s="603"/>
      <c s="603"/>
      <c s="603"/>
      <c s="603"/>
      <c s="603"/>
      <c s="603"/>
      <c s="603"/>
      <c s="603"/>
      <c s="327"/>
      <c s="2258"/>
      <c r="AO51" s="1627"/>
      <c s="1627" t="str">
        <f>IF(T51="","",T51)</f>
        <v>Добавить вид теплоносителя (параметры теплоносителя)</v>
      </c>
      <c s="1627"/>
      <c s="1627"/>
      <c s="1634">
        <v>11</v>
      </c>
    </row>
    <row r="52" spans="1:45" ht="11.55" customHeight="1">
      <c r="A52" s="1270" t="s">
        <v>212</v>
      </c>
      <c s="1270" t="s">
        <v>213</v>
      </c>
      <c s="1270" t="s">
        <v>214</v>
      </c>
      <c s="1270" t="s">
        <v>215</v>
      </c>
      <c s="2293"/>
      <c s="2293"/>
      <c s="2293"/>
      <c s="2293"/>
      <c s="2130"/>
      <c s="1270"/>
      <c s="1270"/>
      <c s="1313"/>
      <c r="P52" s="2260"/>
      <c s="1957"/>
      <c s="359"/>
      <c s="1281"/>
      <c s="290" t="s">
        <v>412</v>
      </c>
      <c s="603"/>
      <c s="603"/>
      <c s="603"/>
      <c s="603"/>
      <c s="603"/>
      <c s="603"/>
      <c s="603"/>
      <c s="603"/>
      <c s="369"/>
      <c s="603"/>
      <c s="603"/>
      <c s="603"/>
      <c s="603"/>
      <c s="603"/>
      <c s="603"/>
      <c s="603"/>
      <c s="369"/>
      <c s="603"/>
      <c s="306"/>
      <c r="AO52" s="1627"/>
      <c s="1627" t="str">
        <f>IF(T52="","",T52)</f>
        <v>Добавить группу потребителей</v>
      </c>
      <c s="1627"/>
      <c s="1627"/>
      <c s="1634">
        <v>11</v>
      </c>
    </row>
    <row r="53" spans="1:45" ht="14.7" customHeight="1">
      <c r="A53" s="1270" t="s">
        <v>212</v>
      </c>
      <c s="1270" t="s">
        <v>213</v>
      </c>
      <c s="1270" t="s">
        <v>214</v>
      </c>
      <c s="1270" t="s">
        <v>215</v>
      </c>
      <c s="2293"/>
      <c s="2293"/>
      <c s="2293"/>
      <c s="2292"/>
      <c s="1270"/>
      <c s="1270"/>
      <c s="1270"/>
      <c s="1313"/>
      <c s="1613"/>
      <c s="1613"/>
      <c s="1638"/>
      <c s="363"/>
      <c s="378"/>
      <c s="358"/>
      <c s="1281"/>
      <c s="368" t="s">
        <v>413</v>
      </c>
      <c s="603"/>
      <c s="603"/>
      <c s="603"/>
      <c s="603"/>
      <c s="603"/>
      <c s="603"/>
      <c s="603"/>
      <c s="603"/>
      <c s="369"/>
      <c s="603"/>
      <c s="603"/>
      <c s="603"/>
      <c s="603"/>
      <c s="603"/>
      <c s="603"/>
      <c s="603"/>
      <c s="369"/>
      <c s="603"/>
      <c s="306"/>
      <c r="AO53" s="1627"/>
      <c s="1627" t="str">
        <f>IF(T53="","",T53)</f>
        <v>Добавить схему подключения</v>
      </c>
      <c s="1627"/>
      <c s="1627"/>
      <c s="1634">
        <v>14</v>
      </c>
    </row>
    <row r="54" spans="1:45" s="1645" customFormat="1" ht="4.2" customHeight="1">
      <c r="A54" s="1378" t="s">
        <v>212</v>
      </c>
      <c s="1378" t="s">
        <v>213</v>
      </c>
      <c s="1378" t="s">
        <v>214</v>
      </c>
      <c s="1377"/>
      <c s="2293"/>
      <c s="2293"/>
      <c s="2292"/>
      <c s="1377"/>
      <c s="1377"/>
      <c s="1377"/>
      <c s="1377"/>
      <c s="1380"/>
      <c s="1381"/>
      <c s="1381"/>
      <c s="354"/>
      <c s="1319"/>
      <c s="1320"/>
      <c s="1319"/>
      <c s="1325"/>
      <c s="1328" t="s">
        <v>414</v>
      </c>
      <c s="1327"/>
      <c s="1327"/>
      <c s="1327"/>
      <c s="1327"/>
      <c s="1327"/>
      <c s="1327"/>
      <c s="1327"/>
      <c s="1327"/>
      <c s="1327"/>
      <c s="1327"/>
      <c s="1327"/>
      <c s="1327"/>
      <c s="1327"/>
      <c s="1327"/>
      <c s="1327"/>
      <c s="1327"/>
      <c s="1327"/>
      <c s="1327"/>
      <c s="1327"/>
      <c r="AO54" s="1254"/>
      <c s="1254" t="str">
        <f>IF(T54="","",T54)</f>
        <v>Добавить источник для дифференциации</v>
      </c>
      <c s="1254"/>
      <c s="1254"/>
      <c s="1645">
        <v>4</v>
      </c>
    </row>
    <row r="55" spans="1:45" s="1645" customFormat="1" ht="4.2" customHeight="1">
      <c r="A55" s="1378" t="s">
        <v>212</v>
      </c>
      <c s="1378" t="s">
        <v>213</v>
      </c>
      <c s="1377"/>
      <c s="1377"/>
      <c s="2293"/>
      <c s="2292"/>
      <c s="1377"/>
      <c s="1377"/>
      <c s="1377"/>
      <c s="1377"/>
      <c s="1377"/>
      <c s="1380"/>
      <c s="1382"/>
      <c s="1382"/>
      <c s="354"/>
      <c s="1319"/>
      <c s="1320"/>
      <c s="1319"/>
      <c s="1325"/>
      <c s="1328" t="s">
        <v>415</v>
      </c>
      <c s="1327"/>
      <c s="1327"/>
      <c s="1327"/>
      <c s="1327"/>
      <c s="1327"/>
      <c s="1327"/>
      <c s="1327"/>
      <c s="1327"/>
      <c s="1327"/>
      <c s="1327"/>
      <c s="1327"/>
      <c s="1327"/>
      <c s="1327"/>
      <c s="1327"/>
      <c s="1327"/>
      <c s="1327"/>
      <c s="1327"/>
      <c s="1327"/>
      <c s="1327"/>
      <c r="AO55" s="1254"/>
      <c s="1254" t="str">
        <f>IF(T55="","",T55)</f>
        <v>Добавить централизованную систему для дифференциации</v>
      </c>
      <c s="1254"/>
      <c s="1254"/>
      <c s="1645">
        <v>4</v>
      </c>
    </row>
    <row r="56" spans="1:45" s="1645" customFormat="1" ht="4.2" customHeight="1">
      <c r="A56" s="1378" t="s">
        <v>212</v>
      </c>
      <c s="1378"/>
      <c s="1378"/>
      <c s="1378"/>
      <c s="2292"/>
      <c s="1378"/>
      <c s="1378"/>
      <c s="1378"/>
      <c s="1378"/>
      <c s="1378"/>
      <c s="1378"/>
      <c s="1384"/>
      <c s="1382"/>
      <c s="1382"/>
      <c s="354"/>
      <c s="383"/>
      <c s="1347"/>
      <c s="383"/>
      <c s="1325"/>
      <c s="1328" t="s">
        <v>416</v>
      </c>
      <c s="1327"/>
      <c s="1327"/>
      <c s="1327"/>
      <c s="1327"/>
      <c s="1327"/>
      <c s="1327"/>
      <c s="1327"/>
      <c s="1327"/>
      <c s="1327"/>
      <c s="1327"/>
      <c s="1327"/>
      <c s="1327"/>
      <c s="1327"/>
      <c s="1327"/>
      <c s="1327"/>
      <c s="1327"/>
      <c s="1327"/>
      <c s="1327"/>
      <c s="1327"/>
      <c r="AO56" s="1627"/>
      <c s="1627" t="str">
        <f>IF(T56="","",T56)</f>
        <v>Добавить территорию для дифференциации</v>
      </c>
      <c s="1627"/>
      <c s="1627"/>
      <c s="1639">
        <v>4</v>
      </c>
    </row>
    <row r="57" spans="1:45" s="1645" customFormat="1" ht="4.2" customHeight="1">
      <c r="A57" s="1377"/>
      <c s="1377"/>
      <c s="1377"/>
      <c s="1377"/>
      <c s="1378"/>
      <c s="1377"/>
      <c s="1377"/>
      <c s="1377"/>
      <c s="1377"/>
      <c s="1377"/>
      <c s="1377"/>
      <c s="1380"/>
      <c s="1382"/>
      <c s="1382"/>
      <c s="354"/>
      <c s="1319"/>
      <c s="1320"/>
      <c s="1319"/>
      <c s="1325"/>
      <c s="1328" t="s">
        <v>448</v>
      </c>
      <c s="1327"/>
      <c s="1327"/>
      <c s="1327"/>
      <c s="1327"/>
      <c s="1327"/>
      <c s="1327"/>
      <c s="1327"/>
      <c s="1327"/>
      <c s="1327"/>
      <c s="1327"/>
      <c s="1327"/>
      <c s="1327"/>
      <c s="1327"/>
      <c s="1327"/>
      <c s="1327"/>
      <c s="1327"/>
      <c s="1327"/>
      <c s="1327"/>
      <c s="1327"/>
      <c r="AO57" s="1254"/>
      <c s="1254" t="str">
        <f>IF(T57="","",T57)</f>
        <v>Добавить наименование тарифа</v>
      </c>
      <c s="1254"/>
      <c s="1254"/>
      <c s="1645">
        <v>4</v>
      </c>
    </row>
    <row r="58" spans="13:45" ht="11.55" customHeight="1">
      <c r="M58" s="1634"/>
      <c s="1634"/>
      <c s="1638"/>
      <c s="1634"/>
      <c s="1634"/>
      <c s="1634"/>
      <c s="1634"/>
      <c r="AN58" s="1634"/>
      <c s="1634"/>
      <c s="1634"/>
      <c s="1634"/>
      <c s="1634"/>
      <c s="1634">
        <v>11</v>
      </c>
    </row>
    <row r="59" spans="15:45" ht="28.5" customHeight="1">
      <c r="O59" s="1638"/>
      <c r="S59" s="1256"/>
      <c s="2288"/>
      <c s="2288"/>
      <c s="2288"/>
      <c s="2288"/>
      <c s="2288"/>
      <c s="2288"/>
      <c s="2288"/>
      <c s="2288"/>
      <c s="2288"/>
      <c s="2288"/>
      <c s="2288"/>
      <c s="2288"/>
      <c s="2288"/>
      <c s="2288"/>
      <c s="2288"/>
      <c s="2288"/>
      <c s="2288"/>
      <c s="2288"/>
      <c s="2288"/>
      <c s="2288"/>
      <c r="AS59" s="1634">
        <v>27</v>
      </c>
    </row>
    <row r="60" spans="15:45" ht="65.25" customHeight="1">
      <c r="O60" s="1638"/>
      <c r="T60" s="2288"/>
      <c s="2288"/>
      <c s="2288"/>
      <c s="2288"/>
      <c s="2288"/>
      <c s="2288"/>
      <c s="2288"/>
      <c s="2288"/>
      <c s="2288"/>
      <c s="2288"/>
      <c s="2288"/>
      <c s="2288"/>
      <c s="2288"/>
      <c s="2288"/>
      <c s="2288"/>
      <c s="2288"/>
      <c s="2288"/>
      <c s="2288"/>
      <c s="2288"/>
      <c s="2288"/>
      <c r="AS60" s="1634">
        <v>62</v>
      </c>
    </row>
    <row r="61" spans="15:45" ht="14.7" customHeight="1">
      <c r="O61" s="1638"/>
      <c r="AS61" s="1634">
        <v>14</v>
      </c>
    </row>
    <row r="62" spans="15:45" ht="18.75" customHeight="1">
      <c r="O62" s="1638"/>
      <c r="S62" s="1256"/>
      <c s="2288"/>
      <c s="2288"/>
      <c s="2288"/>
      <c s="2288"/>
      <c s="2288"/>
      <c s="2288"/>
      <c s="2288"/>
      <c s="2288"/>
      <c s="2288"/>
      <c s="2288"/>
      <c s="2288"/>
      <c s="2288"/>
      <c s="2288"/>
      <c s="2288"/>
      <c s="2288"/>
      <c s="2288"/>
      <c s="2288"/>
      <c s="2288"/>
      <c s="2288"/>
      <c s="2288"/>
      <c r="AS62" s="1634">
        <v>18</v>
      </c>
    </row>
    <row r="63" spans="15:45" ht="18.75" customHeight="1">
      <c r="O63" s="1638"/>
      <c r="T63" s="2288"/>
      <c s="2288"/>
      <c s="2288"/>
      <c s="2288"/>
      <c s="2288"/>
      <c s="2288"/>
      <c s="2288"/>
      <c s="2288"/>
      <c s="2288"/>
      <c s="2288"/>
      <c s="2288"/>
      <c s="2288"/>
      <c s="2288"/>
      <c s="2288"/>
      <c s="2288"/>
      <c s="2288"/>
      <c s="2288"/>
      <c s="2288"/>
      <c s="2288"/>
      <c s="2288"/>
      <c r="AS63" s="1634">
        <v>18</v>
      </c>
    </row>
    <row r="64" spans="15:45" ht="29.25" customHeight="1">
      <c r="O64" s="1638"/>
      <c r="S64" s="1256"/>
      <c s="2288"/>
      <c s="2288"/>
      <c s="2288"/>
      <c s="2288"/>
      <c s="2288"/>
      <c s="2288"/>
      <c s="2288"/>
      <c s="2288"/>
      <c s="2288"/>
      <c s="2288"/>
      <c s="2288"/>
      <c s="2288"/>
      <c s="2288"/>
      <c s="2288"/>
      <c s="2288"/>
      <c s="2288"/>
      <c s="2288"/>
      <c s="2288"/>
      <c s="2288"/>
      <c s="2288"/>
      <c r="AS64" s="1634">
        <v>28</v>
      </c>
    </row>
    <row r="65" spans="1:45" ht="22.5" customHeight="1" hidden="1">
      <c r="A65" s="1634" t="s">
        <v>81</v>
      </c>
      <c s="1634">
        <v>0</v>
      </c>
      <c s="1634">
        <v>0</v>
      </c>
      <c s="1634">
        <v>0</v>
      </c>
      <c s="1634">
        <v>0</v>
      </c>
      <c s="1634">
        <v>0</v>
      </c>
      <c s="1634">
        <v>0</v>
      </c>
      <c s="1634">
        <v>0</v>
      </c>
      <c s="1634">
        <v>0</v>
      </c>
      <c s="1634">
        <v>0</v>
      </c>
      <c s="1634">
        <v>0</v>
      </c>
      <c s="1942">
        <v>0</v>
      </c>
      <c s="1968">
        <v>0</v>
      </c>
      <c s="1968">
        <v>0</v>
      </c>
      <c s="1968">
        <v>0</v>
      </c>
      <c s="1968">
        <v>3</v>
      </c>
      <c s="347">
        <v>3</v>
      </c>
      <c s="347">
        <v>3</v>
      </c>
      <c s="584">
        <v>12</v>
      </c>
      <c s="1634">
        <v>31</v>
      </c>
      <c s="1634">
        <v>0</v>
      </c>
      <c s="1634">
        <v>0</v>
      </c>
      <c s="1634">
        <v>0</v>
      </c>
      <c s="1634">
        <v>0</v>
      </c>
      <c s="1634">
        <v>0</v>
      </c>
      <c s="1634">
        <v>0</v>
      </c>
      <c s="1634">
        <v>0</v>
      </c>
      <c s="1634">
        <v>0</v>
      </c>
      <c s="1634">
        <v>0</v>
      </c>
      <c s="1634">
        <v>24</v>
      </c>
      <c s="1634">
        <v>0</v>
      </c>
      <c s="1634">
        <v>24</v>
      </c>
      <c s="1634">
        <v>24</v>
      </c>
      <c s="1634">
        <v>11</v>
      </c>
      <c s="1634">
        <v>3</v>
      </c>
      <c s="1634">
        <v>11</v>
      </c>
      <c s="1634">
        <v>0</v>
      </c>
      <c s="1634">
        <v>4</v>
      </c>
      <c s="1634">
        <v>115</v>
      </c>
      <c s="1639">
        <v>10</v>
      </c>
      <c s="1639">
        <v>10</v>
      </c>
      <c s="1639">
        <v>10</v>
      </c>
      <c s="1639">
        <v>10</v>
      </c>
      <c s="1639">
        <v>10</v>
      </c>
      <c s="1634">
        <v>23</v>
      </c>
    </row>
  </sheetData>
  <sheetProtection insertRows="0" deleteColumns="0" deleteRows="0" sort="0" autoFilter="0"/>
  <mergeCells count="112">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 ref="AM8:AM10"/>
    <mergeCell ref="AH17:AH18"/>
    <mergeCell ref="AI17:AI18"/>
    <mergeCell ref="AJ17:AJ18"/>
    <mergeCell ref="AK17:AK18"/>
    <mergeCell ref="K8:K9"/>
    <mergeCell ref="Z8:Z9"/>
    <mergeCell ref="AA8:AA9"/>
    <mergeCell ref="AB8:AB9"/>
    <mergeCell ref="AC8:AC9"/>
    <mergeCell ref="AH8:AH9"/>
    <mergeCell ref="S26:AJ26"/>
    <mergeCell ref="S27:AJ27"/>
    <mergeCell ref="S29:T29"/>
    <mergeCell ref="V29:AB29"/>
    <mergeCell ref="AD29:AJ29"/>
    <mergeCell ref="S30:T30"/>
    <mergeCell ref="V30:AB30"/>
    <mergeCell ref="AD30:AJ30"/>
    <mergeCell ref="AI8:AI9"/>
    <mergeCell ref="AJ8:AJ9"/>
    <mergeCell ref="S34:T34"/>
    <mergeCell ref="V34:AB34"/>
    <mergeCell ref="AD34:AJ34"/>
    <mergeCell ref="S35:T35"/>
    <mergeCell ref="V35:AB35"/>
    <mergeCell ref="AD35:AJ35"/>
    <mergeCell ref="S31:T31"/>
    <mergeCell ref="V31:AB31"/>
    <mergeCell ref="AD31:AJ31"/>
    <mergeCell ref="S32:T32"/>
    <mergeCell ref="V32:AB32"/>
    <mergeCell ref="AD32:AJ32"/>
    <mergeCell ref="V37:AC37"/>
    <mergeCell ref="AD37:AK37"/>
    <mergeCell ref="S38:AL38"/>
    <mergeCell ref="AM38:AM41"/>
    <mergeCell ref="S39:S41"/>
    <mergeCell ref="T39:T41"/>
    <mergeCell ref="V39:AB39"/>
    <mergeCell ref="AC39:AC41"/>
    <mergeCell ref="AD39:AJ39"/>
    <mergeCell ref="AK39:AK41"/>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T63:AM63"/>
    <mergeCell ref="T64:AM64"/>
    <mergeCell ref="AJ49:AJ50"/>
    <mergeCell ref="AK49:AK50"/>
    <mergeCell ref="AM49:AM51"/>
    <mergeCell ref="T59:AM59"/>
    <mergeCell ref="T60:AM60"/>
    <mergeCell ref="T62:AM62"/>
    <mergeCell ref="Q48:Q51"/>
    <mergeCell ref="V48:AC48"/>
    <mergeCell ref="AD48:AL48"/>
  </mergeCells>
  <dataValidations count="8">
    <dataValidation allowBlank="1" promptTitle="checkPeriodRange" sqref="Y9 Y65586 Y131122 Y196658 Y262194 Y327730 Y393266 Y458802 Y524338 Y589874 Y655410 Y720946 Y786482 Y852018 Y917554 Y983090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8 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8 Z65585 Z131121 Z196657 Z262193 Z327729 Z393265 Z458801 Z524337 Z589873 Z655409 Z720945 Z786481 Z852017 Z917553 Z983089 AB65585 AB131121 AB196657 AB262193 AB327729 AB393265 AB458801 AB524337 AB589873 AB655409 AB720945 AB786481 AB852017 AB917553 AB983089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65583:W65583 V983087:W983087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65587:AM65593 S131123:AM131129 S196659:AM196665 S262195:AM262201 S327731:AM327737 S393267:AM393273 S458803:AM458809 S524339:AM524345 S589875:AM589881 S655411:AM655417 S720947:AM720953 S786483:AM786489 S852019:AM852025 S917555:AM917561 S983091:AM983097"/>
    <dataValidation type="list" allowBlank="1" showInputMessage="1" prompt="Выберите значение из списка" errorTitle="Ошибка" error="Выберите значение из списка" sqref="V65584:AL65584 V983088:AL983088 V131120:AL131120 V196656:AL196656 V262192:AL262192 V327728:AL327728 V393264:AL393264 V458800:AL458800 V524336:AL524336 V589872:AL589872 V655408:AL655408 V720944:AL720944 V786480:AL786480 V852016:AL852016 V917552:AL917552">
      <formula1>kind_of_cons</formula1>
    </dataValidation>
  </dataValidations>
  <pageMargins left="0.7" right="0.7" top="0.75" bottom="0.75" header="0.3" footer="0.3"/>
  <pageSetup orientation="portrait"/>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m="http://schemas.microsoft.com/office/excel/2006/main" xmlns:x14ac="http://schemas.microsoft.com/office/spreadsheetml/2009/9/ac" xmlns:xr="http://schemas.microsoft.com/office/spreadsheetml/2014/revision" xmlns:xr2="http://schemas.microsoft.com/office/spreadsheetml/2015/revision2" xmlns:xr3="http://schemas.microsoft.com/office/spreadsheetml/2016/revision3" xr:uid="{12E4F14C-AF2A-6674-FAA2-9442D04F5959}" mc:Ignorable="x14ac xr xr2 xr3">
  <sheetPr>
    <tabColor theme="6" tint="0.400000005960464"/>
  </sheetPr>
  <dimension ref="A1:AS65"/>
  <sheetViews>
    <sheetView showGridLines="0" zoomScale="90" zoomScaleNormal="90" workbookViewId="0" topLeftCell="A1">
      <pane xSplit="29" ySplit="42" topLeftCell="AD43" activePane="bottomRight" state="frozen"/>
      <selection pane="topLeft" activeCell="A1" sqref="A1"/>
      <selection pane="bottomLeft" activeCell="A43" sqref="A43"/>
      <selection pane="topRight" activeCell="AD1" sqref="AD1"/>
      <selection pane="bottomRight" activeCell="A1" sqref="A1"/>
    </sheetView>
  </sheetViews>
  <sheetFormatPr defaultColWidth="10.5742857142857" defaultRowHeight="14.25" customHeight="1"/>
  <cols>
    <col min="1" max="1" width="10.5714285714286" style="1638" hidden="1"/>
    <col min="2" max="2" width="11" style="1638" hidden="1" customWidth="1"/>
    <col min="3" max="3" width="10.5714285714286" style="1638" hidden="1"/>
    <col min="4" max="4" width="11.8571428571429" style="1638" hidden="1" customWidth="1"/>
    <col min="5" max="5" width="10" style="1638" hidden="1" customWidth="1"/>
    <col min="6" max="6" width="8.71428571428571" style="1638" hidden="1" customWidth="1"/>
    <col min="7" max="7" width="7.57142857142857" style="1638" hidden="1" customWidth="1"/>
    <col min="8" max="8" width="11.4285714285714" style="1638" hidden="1" customWidth="1"/>
    <col min="9" max="9" width="12" style="1638" hidden="1" customWidth="1"/>
    <col min="10" max="10" width="9.85714285714286" style="1638" hidden="1" customWidth="1"/>
    <col min="11" max="11" width="11.4285714285714" style="1638" hidden="1" customWidth="1"/>
    <col min="12" max="12" width="19.1428571428571" style="2128" hidden="1" customWidth="1"/>
    <col min="13" max="14" width="12.2857142857143" style="2400" hidden="1" customWidth="1"/>
    <col min="15" max="15" width="23.4285714285714" style="2400" hidden="1" customWidth="1"/>
    <col min="16" max="16" width="3" style="2400" customWidth="1"/>
    <col min="17" max="18" width="3" style="347" customWidth="1"/>
    <col min="19" max="19" width="12" style="2410" customWidth="1"/>
    <col min="20" max="20" width="31" style="1638" customWidth="1"/>
    <col min="21" max="21" width="0.142857142857143" style="1638" customWidth="1"/>
    <col min="22" max="22" width="24.7142857142857" style="1638" hidden="1" customWidth="1"/>
    <col min="23" max="23" width="0.142857142857143" style="1638" hidden="1" customWidth="1"/>
    <col min="24" max="25" width="24.7142857142857" style="1638" hidden="1" customWidth="1"/>
    <col min="26" max="26" width="11.7142857142857" style="1638" hidden="1" customWidth="1"/>
    <col min="27" max="27" width="3.71428571428571" style="1638" hidden="1" customWidth="1"/>
    <col min="28" max="28" width="11.7142857142857" style="1638" hidden="1" customWidth="1"/>
    <col min="29" max="29" width="8.57142857142857" style="1638" hidden="1" customWidth="1"/>
    <col min="30" max="30" width="24.7142857142857" style="1638" customWidth="1"/>
    <col min="31" max="31" width="0.142857142857143" style="1638" customWidth="1"/>
    <col min="32" max="33" width="24" style="1638" customWidth="1"/>
    <col min="34" max="34" width="11" style="1638" customWidth="1"/>
    <col min="35" max="35" width="3.71428571428571" style="1638" customWidth="1"/>
    <col min="36" max="36" width="11" style="1638" customWidth="1"/>
    <col min="37" max="37" width="8.57142857142857" style="1638" hidden="1" customWidth="1"/>
    <col min="38" max="38" width="4" style="1638" customWidth="1"/>
    <col min="39" max="39" width="115" style="1638" customWidth="1"/>
    <col min="40" max="44" width="10" style="1645" customWidth="1"/>
    <col min="45" max="45" width="10.5714285714286" style="1638" hidden="1"/>
  </cols>
  <sheetData>
    <row r="1" spans="45:45" ht="22.5" customHeight="1" hidden="1">
      <c r="AS1" s="1634" t="s">
        <v>14</v>
      </c>
    </row>
    <row r="2" spans="1:45" ht="21" customHeight="1" hidden="1">
      <c r="A2" s="1270"/>
      <c s="1270"/>
      <c s="1270"/>
      <c s="1270"/>
      <c s="2292">
        <v>1</v>
      </c>
      <c s="1270"/>
      <c s="1270"/>
      <c s="1270"/>
      <c s="1270"/>
      <c s="1270"/>
      <c s="1270"/>
      <c s="1313"/>
      <c s="1613"/>
      <c s="1613"/>
      <c s="1613"/>
      <c s="1593"/>
      <c s="363"/>
      <c s="358"/>
      <c s="1961">
        <f>INDEX(PT_DIFFERENTIATION_NUM_NTAR,MATCH(A2,PT_DIFFERENTIATION_NTAR_ID,0))</f>
      </c>
      <c s="1528" t="s">
        <v>125</v>
      </c>
      <c s="303"/>
      <c s="2245"/>
      <c s="2246"/>
      <c s="2246"/>
      <c s="2246"/>
      <c s="2246"/>
      <c s="2246"/>
      <c s="2246"/>
      <c s="2247"/>
      <c s="2245">
        <f>INDEX(PT_DIFFERENTIATION_NTAR,MATCH(A2,PT_DIFFERENTIATION_NTAR_ID,0))</f>
      </c>
      <c s="2246"/>
      <c s="2246"/>
      <c s="2246"/>
      <c s="2246"/>
      <c s="2246"/>
      <c s="2246"/>
      <c s="2246"/>
      <c s="2247"/>
      <c s="1261" t="s">
        <v>396</v>
      </c>
      <c r="AO2" s="1627"/>
      <c s="1627" t="str">
        <f>IF(T2="","",T2)</f>
        <v>Наименование тарифа</v>
      </c>
      <c s="1627"/>
      <c s="1627"/>
      <c s="1634">
        <v>0</v>
      </c>
    </row>
    <row r="3" spans="1:45" ht="21" customHeight="1" hidden="1">
      <c r="A3" s="1270"/>
      <c s="1270"/>
      <c s="1270"/>
      <c s="1270"/>
      <c s="2293"/>
      <c s="2292">
        <v>1</v>
      </c>
      <c s="1270"/>
      <c s="1270"/>
      <c s="1270"/>
      <c s="1270"/>
      <c s="1270"/>
      <c s="1313"/>
      <c s="1613"/>
      <c s="1613"/>
      <c s="1613"/>
      <c s="1943"/>
      <c s="355"/>
      <c s="356"/>
      <c s="1961">
        <f>INDEX(PT_DIFFERENTIATION_NUM_TER,MATCH(B3,PT_DIFFERENTIATION_TER_ID,0))</f>
      </c>
      <c s="1525" t="s">
        <v>397</v>
      </c>
      <c s="303"/>
      <c s="2245"/>
      <c s="2246"/>
      <c s="2246"/>
      <c s="2246"/>
      <c s="2246"/>
      <c s="2246"/>
      <c s="2246"/>
      <c s="2247"/>
      <c s="2245">
        <f>INDEX(PT_DIFFERENTIATION_TER,MATCH(B3,PT_DIFFERENTIATION_TER_ID,0))</f>
      </c>
      <c s="2246"/>
      <c s="2246"/>
      <c s="2246"/>
      <c s="2246"/>
      <c s="2246"/>
      <c s="2246"/>
      <c s="2246"/>
      <c s="2247"/>
      <c s="1261" t="s">
        <v>398</v>
      </c>
      <c r="AO3" s="1627"/>
      <c s="1627" t="str">
        <f>IF(T3="","",T3)</f>
        <v>Территория действия тарифа</v>
      </c>
      <c s="1627"/>
      <c s="1627"/>
      <c s="1634">
        <v>0</v>
      </c>
    </row>
    <row r="4" spans="1:45" ht="23.25" customHeight="1" hidden="1">
      <c r="A4" s="1270"/>
      <c s="1270"/>
      <c s="1270"/>
      <c s="1270"/>
      <c s="2293"/>
      <c s="2293"/>
      <c s="2292">
        <v>1</v>
      </c>
      <c s="1270"/>
      <c s="1270"/>
      <c s="1270"/>
      <c s="1270"/>
      <c s="1313"/>
      <c s="1613"/>
      <c s="1613"/>
      <c s="1613"/>
      <c s="357"/>
      <c s="355"/>
      <c s="356"/>
      <c s="1961">
        <f>INDEX(PT_DIFFERENTIATION_NUM_CS,MATCH(C4,PT_DIFFERENTIATION_CS_ID,0))</f>
      </c>
      <c s="312" t="s">
        <v>399</v>
      </c>
      <c s="303"/>
      <c s="2245"/>
      <c s="2246"/>
      <c s="2246"/>
      <c s="2246"/>
      <c s="2246"/>
      <c s="2246"/>
      <c s="2246"/>
      <c s="2247"/>
      <c s="2245">
        <f>INDEX(PT_DIFFERENTIATION_CS,MATCH(C4,PT_DIFFERENTIATION_CS_ID,0))</f>
      </c>
      <c s="2246"/>
      <c s="2246"/>
      <c s="2246"/>
      <c s="2246"/>
      <c s="2246"/>
      <c s="2246"/>
      <c s="2246"/>
      <c s="2247"/>
      <c s="1261" t="s">
        <v>400</v>
      </c>
      <c r="AO4" s="1627"/>
      <c s="1627" t="str">
        <f>IF(T4="","",T4)</f>
        <v>Наименование системы теплоснабжения</v>
      </c>
      <c s="1627"/>
      <c s="1627"/>
      <c s="1634">
        <v>0</v>
      </c>
    </row>
    <row r="5" spans="1:45" ht="21" customHeight="1" hidden="1">
      <c r="A5" s="1270"/>
      <c s="1270"/>
      <c s="1270"/>
      <c s="1270"/>
      <c s="2293"/>
      <c s="2293"/>
      <c s="2293"/>
      <c s="2292">
        <v>1</v>
      </c>
      <c s="1270"/>
      <c s="1270"/>
      <c s="1270"/>
      <c s="1313"/>
      <c s="1613"/>
      <c s="1613"/>
      <c s="1613"/>
      <c s="357"/>
      <c s="355"/>
      <c s="356"/>
      <c s="1961">
        <f>INDEX(PT_DIFFERENTIATION_NUM_IST_TE,MATCH(D5,PT_DIFFERENTIATION_IST_TE_ID,0))</f>
      </c>
      <c s="313" t="s">
        <v>401</v>
      </c>
      <c s="303"/>
      <c s="2245"/>
      <c s="2246"/>
      <c s="2246"/>
      <c s="2246"/>
      <c s="2246"/>
      <c s="2246"/>
      <c s="2246"/>
      <c s="2247"/>
      <c s="2245">
        <f>INDEX(PT_DIFFERENTIATION_IST_TE,MATCH(D5,PT_DIFFERENTIATION_IST_TE_ID,0))</f>
      </c>
      <c s="2246"/>
      <c s="2246"/>
      <c s="2246"/>
      <c s="2246"/>
      <c s="2246"/>
      <c s="2246"/>
      <c s="2246"/>
      <c s="2247"/>
      <c s="1261" t="s">
        <v>402</v>
      </c>
      <c r="AO5" s="1627"/>
      <c s="1627" t="str">
        <f>IF(T5="","",T5)</f>
        <v>Источник тепловой энергии</v>
      </c>
      <c s="1627"/>
      <c s="1627"/>
      <c s="1634">
        <v>0</v>
      </c>
    </row>
    <row r="6" spans="1:45" ht="47.25" customHeight="1" hidden="1">
      <c r="A6" s="1270"/>
      <c s="1270"/>
      <c s="1270"/>
      <c s="1270"/>
      <c s="2293"/>
      <c s="2293"/>
      <c s="2293"/>
      <c s="2293"/>
      <c s="2130">
        <f>S5&amp;".1"</f>
      </c>
      <c s="1270"/>
      <c s="1270"/>
      <c s="1313" t="s">
        <v>403</v>
      </c>
      <c s="1638"/>
      <c r="P6" s="2260">
        <v>1</v>
      </c>
      <c s="1957"/>
      <c s="359"/>
      <c s="1961">
        <f>$I6</f>
      </c>
      <c s="288" t="s">
        <v>404</v>
      </c>
      <c s="303"/>
      <c s="2248"/>
      <c s="2249"/>
      <c s="2249"/>
      <c s="2249"/>
      <c s="2249"/>
      <c s="2249"/>
      <c s="2249"/>
      <c s="2250"/>
      <c s="2248"/>
      <c s="2249"/>
      <c s="2249"/>
      <c s="2249"/>
      <c s="2249"/>
      <c s="2249"/>
      <c s="2249"/>
      <c s="2249"/>
      <c s="2250"/>
      <c s="1261" t="s">
        <v>405</v>
      </c>
      <c r="AO6" s="1627"/>
      <c s="1627" t="str">
        <f>IF(T6="","",T6)</f>
        <v>Схема подключения теплопотребляющей установки к коллектору источника тепловой энергии</v>
      </c>
      <c s="1627"/>
      <c s="1627"/>
      <c s="1634">
        <v>0</v>
      </c>
    </row>
    <row r="7" spans="1:45" ht="21" customHeight="1" hidden="1">
      <c r="A7" s="1270"/>
      <c s="1270"/>
      <c s="1270"/>
      <c s="1270"/>
      <c s="2293"/>
      <c s="2293"/>
      <c s="2293"/>
      <c s="2293"/>
      <c s="2104"/>
      <c s="2130">
        <f>I6&amp;".1"</f>
      </c>
      <c s="1270"/>
      <c s="1313" t="s">
        <v>406</v>
      </c>
      <c s="1638"/>
      <c s="1634"/>
      <c r="P7" s="2260"/>
      <c s="2260">
        <v>1</v>
      </c>
      <c s="360"/>
      <c s="1961">
        <f>$J7</f>
      </c>
      <c s="289" t="s">
        <v>407</v>
      </c>
      <c s="303"/>
      <c s="2248"/>
      <c s="2249"/>
      <c s="2249"/>
      <c s="2249"/>
      <c s="2249"/>
      <c s="2249"/>
      <c s="2249"/>
      <c s="2250"/>
      <c s="2248"/>
      <c s="2249"/>
      <c s="2249"/>
      <c s="2249"/>
      <c s="2249"/>
      <c s="2249"/>
      <c s="2249"/>
      <c s="2249"/>
      <c s="2250"/>
      <c s="1261" t="s">
        <v>408</v>
      </c>
      <c r="AO7" s="1627"/>
      <c s="1627" t="str">
        <f>IF(T7="","",T7)</f>
        <v>Группа потребителей</v>
      </c>
      <c s="1627"/>
      <c s="1627"/>
      <c s="1634">
        <v>0</v>
      </c>
    </row>
    <row r="8" spans="1:45" ht="21" customHeight="1" hidden="1">
      <c r="A8" s="1270"/>
      <c s="1270"/>
      <c s="1270"/>
      <c s="1270"/>
      <c s="2293"/>
      <c s="2293"/>
      <c s="2293"/>
      <c s="2293"/>
      <c s="2104"/>
      <c s="2104"/>
      <c s="2130">
        <f>J7&amp;".1"</f>
      </c>
      <c s="1313" t="s">
        <v>409</v>
      </c>
      <c s="1638"/>
      <c s="1634"/>
      <c s="1634"/>
      <c s="2260"/>
      <c s="2260"/>
      <c s="360">
        <v>1</v>
      </c>
      <c s="1961">
        <f>$K8</f>
      </c>
      <c s="1350"/>
      <c s="303"/>
      <c s="754"/>
      <c s="328"/>
      <c s="754"/>
      <c s="1260"/>
      <c s="2268"/>
      <c s="2110" t="s">
        <v>65</v>
      </c>
      <c s="2268"/>
      <c s="2110" t="s">
        <v>65</v>
      </c>
      <c s="754"/>
      <c s="328"/>
      <c s="754"/>
      <c s="1260"/>
      <c s="2268"/>
      <c s="2110" t="s">
        <v>65</v>
      </c>
      <c s="2268"/>
      <c s="2110" t="s">
        <v>65</v>
      </c>
      <c s="328"/>
      <c s="2256" t="s">
        <v>410</v>
      </c>
      <c s="1639">
        <f>STRCHECKDATE(V9:AL9)</f>
      </c>
      <c s="1627"/>
      <c s="1627" t="str">
        <f>IF(T8="","",T8)</f>
        <v/>
      </c>
      <c s="1627"/>
      <c s="1627"/>
      <c s="1634">
        <v>0</v>
      </c>
    </row>
    <row r="9" spans="1:45" ht="0.75" customHeight="1" hidden="1">
      <c r="A9" s="1270"/>
      <c s="1270"/>
      <c s="1270"/>
      <c s="1270"/>
      <c s="2293"/>
      <c s="2293"/>
      <c s="2293"/>
      <c s="2293"/>
      <c s="2104"/>
      <c s="2104"/>
      <c s="2130"/>
      <c s="1313"/>
      <c s="1638"/>
      <c s="1634"/>
      <c s="1634"/>
      <c s="2260"/>
      <c s="2260"/>
      <c s="360"/>
      <c s="1970"/>
      <c s="303"/>
      <c s="303"/>
      <c s="328"/>
      <c s="328"/>
      <c s="328"/>
      <c s="331" t="str">
        <f>Z8&amp;"-"&amp;AB8</f>
        <v>-</v>
      </c>
      <c s="2269"/>
      <c s="2110"/>
      <c s="2269"/>
      <c s="2110"/>
      <c s="328"/>
      <c s="328"/>
      <c s="328"/>
      <c s="331" t="str">
        <f>AH8&amp;"-"&amp;AJ8</f>
        <v>-</v>
      </c>
      <c s="2269"/>
      <c s="2110"/>
      <c s="2269"/>
      <c s="2110"/>
      <c s="328"/>
      <c s="2257"/>
      <c r="AO9" s="1627"/>
      <c s="1627" t="str">
        <f>IF(T9="","",T9)</f>
        <v/>
      </c>
      <c s="1627"/>
      <c s="1627"/>
      <c s="1634">
        <v>0</v>
      </c>
    </row>
    <row r="10" spans="1:45" ht="15" customHeight="1" hidden="1">
      <c r="A10" s="1270"/>
      <c s="1270"/>
      <c s="1270"/>
      <c s="1270"/>
      <c s="2293"/>
      <c s="2293"/>
      <c s="2293"/>
      <c s="2293"/>
      <c s="2104"/>
      <c s="2130"/>
      <c s="1270"/>
      <c s="1313"/>
      <c s="1638"/>
      <c s="1634"/>
      <c r="P10" s="2260"/>
      <c s="2260"/>
      <c s="359"/>
      <c s="1281"/>
      <c s="291" t="s">
        <v>411</v>
      </c>
      <c s="603"/>
      <c s="603"/>
      <c s="603"/>
      <c s="603"/>
      <c s="603"/>
      <c s="603"/>
      <c s="603"/>
      <c s="603"/>
      <c s="603"/>
      <c s="603"/>
      <c s="603"/>
      <c s="603"/>
      <c s="603"/>
      <c s="603"/>
      <c s="603"/>
      <c s="603"/>
      <c s="603"/>
      <c s="327"/>
      <c s="2258"/>
      <c r="AO10" s="1627"/>
      <c s="1627" t="str">
        <f>IF(T10="","",T10)</f>
        <v>Добавить вид теплоносителя (параметры теплоносителя)</v>
      </c>
      <c s="1627"/>
      <c s="1627"/>
      <c s="1634">
        <v>0</v>
      </c>
    </row>
    <row r="11" spans="1:45" ht="15" customHeight="1" hidden="1">
      <c r="A11" s="1270"/>
      <c s="1270"/>
      <c s="1270"/>
      <c s="1270"/>
      <c s="2293"/>
      <c s="2293"/>
      <c s="2293"/>
      <c s="2293"/>
      <c s="2130"/>
      <c s="1270"/>
      <c s="1270"/>
      <c s="1313"/>
      <c s="1638"/>
      <c r="P11" s="2260"/>
      <c s="1957"/>
      <c s="359"/>
      <c s="1281"/>
      <c s="290" t="s">
        <v>412</v>
      </c>
      <c s="603"/>
      <c s="603"/>
      <c s="603"/>
      <c s="603"/>
      <c s="603"/>
      <c s="603"/>
      <c s="603"/>
      <c s="603"/>
      <c s="369"/>
      <c s="603"/>
      <c s="603"/>
      <c s="603"/>
      <c s="603"/>
      <c s="603"/>
      <c s="603"/>
      <c s="603"/>
      <c s="369"/>
      <c s="603"/>
      <c s="306"/>
      <c r="AO11" s="1627"/>
      <c s="1627" t="str">
        <f>IF(T11="","",T11)</f>
        <v>Добавить группу потребителей</v>
      </c>
      <c s="1627"/>
      <c s="1627"/>
      <c s="1634">
        <v>0</v>
      </c>
    </row>
    <row r="12" spans="1:45" ht="14.25" customHeight="1" hidden="1">
      <c r="A12" s="1270"/>
      <c s="1270"/>
      <c s="1270"/>
      <c s="1270"/>
      <c s="2293"/>
      <c s="2293"/>
      <c s="2293"/>
      <c s="2292"/>
      <c s="1270"/>
      <c s="1270"/>
      <c s="1270"/>
      <c s="1313"/>
      <c s="1613"/>
      <c s="1613"/>
      <c s="1638"/>
      <c s="363"/>
      <c s="378"/>
      <c s="358"/>
      <c s="1281"/>
      <c s="368" t="s">
        <v>413</v>
      </c>
      <c s="603"/>
      <c s="603"/>
      <c s="603"/>
      <c s="603"/>
      <c s="603"/>
      <c s="603"/>
      <c s="603"/>
      <c s="603"/>
      <c s="369"/>
      <c s="603"/>
      <c s="603"/>
      <c s="603"/>
      <c s="603"/>
      <c s="603"/>
      <c s="603"/>
      <c s="603"/>
      <c s="369"/>
      <c s="603"/>
      <c s="306"/>
      <c r="AO12" s="1627"/>
      <c s="1627" t="str">
        <f>IF(T12="","",T12)</f>
        <v>Добавить схему подключения</v>
      </c>
      <c s="1627"/>
      <c s="1627"/>
      <c s="1634">
        <v>0</v>
      </c>
    </row>
    <row r="13" spans="1:45" s="1645" customFormat="1" ht="0.75" customHeight="1" hidden="1">
      <c r="A13" s="1977"/>
      <c s="1977"/>
      <c s="1977"/>
      <c s="1977"/>
      <c s="2293"/>
      <c s="2293"/>
      <c s="2292"/>
      <c s="1977"/>
      <c s="1977"/>
      <c s="1977"/>
      <c s="1977"/>
      <c s="1383"/>
      <c s="1613"/>
      <c s="1613"/>
      <c s="1638"/>
      <c s="1319"/>
      <c s="1320"/>
      <c s="1319"/>
      <c s="1321"/>
      <c s="1322" t="s">
        <v>414</v>
      </c>
      <c s="1323"/>
      <c s="1323"/>
      <c s="1323"/>
      <c s="1323"/>
      <c s="1323"/>
      <c s="1323"/>
      <c s="1323"/>
      <c s="1323"/>
      <c s="1323"/>
      <c s="1323"/>
      <c s="1323"/>
      <c s="1323"/>
      <c s="1323"/>
      <c s="1323"/>
      <c s="1323"/>
      <c s="1323"/>
      <c s="1323"/>
      <c s="1323"/>
      <c s="1323"/>
      <c r="AO13" s="1254"/>
      <c s="1254" t="str">
        <f>IF(T13="","",T13)</f>
        <v>Добавить источник для дифференциации</v>
      </c>
      <c s="1254"/>
      <c s="1254"/>
      <c s="1645">
        <v>0</v>
      </c>
    </row>
    <row r="14" spans="1:45" s="1645" customFormat="1" ht="0.75" customHeight="1" hidden="1">
      <c r="A14" s="1977"/>
      <c s="1977"/>
      <c s="1977"/>
      <c s="1977"/>
      <c s="2293"/>
      <c s="2292"/>
      <c s="1977"/>
      <c s="1977"/>
      <c s="1977"/>
      <c s="1977"/>
      <c s="1977"/>
      <c s="1383"/>
      <c s="1978"/>
      <c s="1978"/>
      <c s="1638"/>
      <c s="1319"/>
      <c s="1320"/>
      <c s="1319"/>
      <c s="1325"/>
      <c s="1326" t="s">
        <v>415</v>
      </c>
      <c s="1327"/>
      <c s="1327"/>
      <c s="1327"/>
      <c s="1327"/>
      <c s="1327"/>
      <c s="1327"/>
      <c s="1327"/>
      <c s="1327"/>
      <c s="1327"/>
      <c s="1327"/>
      <c s="1327"/>
      <c s="1327"/>
      <c s="1327"/>
      <c s="1327"/>
      <c s="1327"/>
      <c s="1327"/>
      <c s="1327"/>
      <c s="1327"/>
      <c s="1327"/>
      <c r="AO14" s="1254"/>
      <c s="1254" t="str">
        <f>IF(T14="","",T14)</f>
        <v>Добавить централизованную систему для дифференциации</v>
      </c>
      <c s="1254"/>
      <c s="1254"/>
      <c s="1645">
        <v>0</v>
      </c>
    </row>
    <row r="15" spans="1:45" s="1645" customFormat="1" ht="0.75" customHeight="1" hidden="1">
      <c r="A15" s="1977"/>
      <c s="1977"/>
      <c s="1977"/>
      <c s="1977"/>
      <c s="2292"/>
      <c s="1977"/>
      <c s="1977"/>
      <c s="1977"/>
      <c s="1977"/>
      <c s="1977"/>
      <c s="1977"/>
      <c s="1383"/>
      <c s="1978"/>
      <c s="1978"/>
      <c s="1638"/>
      <c s="1319"/>
      <c s="1320"/>
      <c s="1319"/>
      <c s="1325"/>
      <c s="1328" t="s">
        <v>416</v>
      </c>
      <c s="1327"/>
      <c s="1327"/>
      <c s="1327"/>
      <c s="1327"/>
      <c s="1327"/>
      <c s="1327"/>
      <c s="1327"/>
      <c s="1327"/>
      <c s="1327"/>
      <c s="1327"/>
      <c s="1327"/>
      <c s="1327"/>
      <c s="1327"/>
      <c s="1327"/>
      <c s="1327"/>
      <c s="1327"/>
      <c s="1327"/>
      <c s="1327"/>
      <c s="1327"/>
      <c r="AO15" s="1254"/>
      <c s="1254" t="str">
        <f>IF(T15="","",T15)</f>
        <v>Добавить территорию для дифференциации</v>
      </c>
      <c s="1254"/>
      <c s="1254"/>
      <c s="1645">
        <v>0</v>
      </c>
    </row>
    <row r="16" spans="45:45" ht="14.25" customHeight="1" hidden="1">
      <c r="AS16" s="1634">
        <v>0</v>
      </c>
    </row>
    <row r="17" spans="30:45" ht="14.25" customHeight="1" hidden="1">
      <c r="AD17" s="1363"/>
      <c s="1363"/>
      <c s="1363"/>
      <c s="1364"/>
      <c s="2270"/>
      <c s="2271" t="s">
        <v>65</v>
      </c>
      <c s="2270"/>
      <c s="2271" t="s">
        <v>65</v>
      </c>
      <c r="AS17" s="1634">
        <v>0</v>
      </c>
    </row>
    <row r="18" spans="30:45" ht="14.25" customHeight="1" hidden="1">
      <c r="AD18" s="1363"/>
      <c s="1363"/>
      <c s="1363"/>
      <c s="331" t="str">
        <f>AH17&amp;"-"&amp;AJ17</f>
        <v>-</v>
      </c>
      <c s="2271"/>
      <c s="2271"/>
      <c s="2271"/>
      <c s="2271"/>
      <c r="AS18" s="1634">
        <v>0</v>
      </c>
    </row>
    <row r="19" spans="45:45" ht="14.25" customHeight="1" hidden="1">
      <c r="AS19" s="1634">
        <v>0</v>
      </c>
    </row>
    <row r="20" spans="1:45" s="1369" customFormat="1" ht="14.25" customHeight="1" hidden="1">
      <c r="A20" s="1634"/>
      <c s="1634"/>
      <c s="1634"/>
      <c s="1634"/>
      <c s="1634"/>
      <c s="1634"/>
      <c s="1634"/>
      <c s="1634"/>
      <c s="1634"/>
      <c s="1634"/>
      <c s="1634"/>
      <c s="1942"/>
      <c s="1968"/>
      <c s="1968"/>
      <c s="1348" t="s">
        <v>417</v>
      </c>
      <c s="1365"/>
      <c s="1374"/>
      <c s="1374"/>
      <c s="732"/>
      <c r="Z20" s="1370"/>
      <c r="AB20" s="1370"/>
      <c r="AH20" s="1370"/>
      <c r="AJ20" s="1370"/>
      <c r="AN20" s="1639"/>
      <c s="1639"/>
      <c s="1639"/>
      <c s="1639"/>
      <c s="1639"/>
      <c s="1369">
        <v>0</v>
      </c>
    </row>
    <row r="21" spans="1:45" s="1369" customFormat="1" ht="14.25" customHeight="1" hidden="1">
      <c r="A21" s="1634"/>
      <c s="1634"/>
      <c s="1634"/>
      <c s="1634"/>
      <c s="1634"/>
      <c s="1634"/>
      <c s="1634"/>
      <c s="1634"/>
      <c s="1634"/>
      <c s="1634"/>
      <c s="1634"/>
      <c s="1942"/>
      <c s="1968"/>
      <c s="1968"/>
      <c s="1968"/>
      <c s="1365"/>
      <c s="1374"/>
      <c s="1374"/>
      <c s="732"/>
      <c r="AN21" s="1639"/>
      <c s="1639"/>
      <c s="1639"/>
      <c s="1639"/>
      <c s="1639"/>
      <c s="1369">
        <v>0</v>
      </c>
    </row>
    <row r="22" spans="1:45" s="1369" customFormat="1" ht="14.25" customHeight="1" hidden="1">
      <c r="A22" s="1634"/>
      <c s="1634"/>
      <c s="1634"/>
      <c s="1634"/>
      <c s="1634"/>
      <c s="1634"/>
      <c s="1634"/>
      <c s="1634"/>
      <c s="1634"/>
      <c s="1634"/>
      <c s="1634"/>
      <c s="1942"/>
      <c s="1968"/>
      <c s="1968"/>
      <c s="1313" t="s">
        <v>418</v>
      </c>
      <c s="1365"/>
      <c s="1374"/>
      <c s="1374"/>
      <c s="732"/>
      <c s="1369" t="s">
        <v>419</v>
      </c>
      <c r="AA22" s="598" t="s">
        <v>420</v>
      </c>
      <c r="AC22" s="598" t="s">
        <v>421</v>
      </c>
      <c s="1369" t="s">
        <v>419</v>
      </c>
      <c r="AI22" s="598" t="s">
        <v>422</v>
      </c>
      <c r="AK22" s="598" t="s">
        <v>421</v>
      </c>
      <c r="AN22" s="1639"/>
      <c s="1639"/>
      <c s="1639"/>
      <c s="1639"/>
      <c s="1639"/>
      <c s="1369">
        <v>0</v>
      </c>
    </row>
    <row r="23" spans="15:45" ht="14.25" customHeight="1" hidden="1">
      <c r="O23" s="1313"/>
      <c r="AS23" s="1634">
        <v>0</v>
      </c>
    </row>
    <row r="24" spans="15:45" ht="14.25" customHeight="1" hidden="1">
      <c r="O24" s="1313"/>
      <c r="AS24" s="1634">
        <v>0</v>
      </c>
    </row>
    <row r="25" spans="17:45" ht="14.7" customHeight="1">
      <c r="Q25" s="379"/>
      <c s="379"/>
      <c s="1278"/>
      <c s="460"/>
      <c s="460"/>
      <c s="1638"/>
      <c s="1638"/>
      <c s="1638"/>
      <c s="1638"/>
      <c s="1638"/>
      <c s="1638"/>
      <c s="1638"/>
      <c s="1638"/>
      <c s="1638"/>
      <c s="1638"/>
      <c s="1638"/>
      <c s="1638"/>
      <c s="1638"/>
      <c s="1638"/>
      <c s="1638"/>
      <c s="1638"/>
      <c r="AS25" s="1634">
        <v>14</v>
      </c>
    </row>
    <row r="26" spans="17:45" ht="14.7" customHeight="1">
      <c r="Q26" s="379"/>
      <c s="379"/>
      <c s="2251"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s="2251"/>
      <c s="2251"/>
      <c s="2251"/>
      <c s="2251"/>
      <c s="2251"/>
      <c s="2251"/>
      <c s="2251"/>
      <c s="2251"/>
      <c s="2251"/>
      <c s="2251"/>
      <c s="2251"/>
      <c s="2251"/>
      <c s="2251"/>
      <c s="2251"/>
      <c s="2251"/>
      <c s="2251"/>
      <c s="2251"/>
      <c s="1246"/>
      <c r="AS26" s="1634">
        <v>14</v>
      </c>
    </row>
    <row r="27" spans="17:45" ht="14.7" customHeight="1">
      <c r="Q27" s="379"/>
      <c s="379"/>
      <c s="2252" t="str">
        <f>IF(org=0,"Не определено",org)</f>
        <v>ГУП КК "Кубаньводкомплекс"</v>
      </c>
      <c s="2252"/>
      <c s="2252"/>
      <c s="2252"/>
      <c s="2252"/>
      <c s="2252"/>
      <c s="2252"/>
      <c s="2252"/>
      <c s="2252"/>
      <c s="2252"/>
      <c s="2252"/>
      <c s="2252"/>
      <c s="2252"/>
      <c s="2252"/>
      <c s="2252"/>
      <c s="2252"/>
      <c s="2252"/>
      <c s="2252"/>
      <c s="1246"/>
      <c r="AS27" s="1634">
        <v>14</v>
      </c>
    </row>
    <row r="28" spans="17:45" ht="14.25" customHeight="1" hidden="1">
      <c r="Q28" s="379"/>
      <c s="379"/>
      <c s="1278"/>
      <c s="460"/>
      <c s="460"/>
      <c s="325"/>
      <c s="325"/>
      <c s="325"/>
      <c s="325"/>
      <c s="325"/>
      <c s="325"/>
      <c s="325"/>
      <c s="325"/>
      <c s="325"/>
      <c s="325"/>
      <c s="325"/>
      <c s="325"/>
      <c s="325"/>
      <c s="325"/>
      <c s="325"/>
      <c s="325"/>
      <c s="1638"/>
      <c r="AS28" s="1634">
        <v>0</v>
      </c>
    </row>
    <row r="29" spans="1:45" s="1856" customFormat="1" ht="25.5" customHeight="1" hidden="1">
      <c r="A29" s="1251"/>
      <c s="1251"/>
      <c s="1251"/>
      <c s="1251"/>
      <c s="1251"/>
      <c s="1251"/>
      <c s="1251"/>
      <c s="1251"/>
      <c s="1251"/>
      <c s="1251"/>
      <c s="1251"/>
      <c s="1383"/>
      <c s="1251"/>
      <c s="1251"/>
      <c s="1251"/>
      <c r="S29" s="2253" t="s">
        <v>42</v>
      </c>
      <c s="2253"/>
      <c s="1375"/>
      <c s="2254" t="str">
        <f>IF(TITLE_NAME_OR_PR_CHANGE="",IF(TITLE_NAME_OR_PR="","",TITLE_NAME_OR_PR),TITLE_NAME_OR_PR_CHANGE)</f>
        <v/>
      </c>
      <c s="2254"/>
      <c s="2254"/>
      <c s="2254"/>
      <c s="2254"/>
      <c s="2254"/>
      <c s="2254"/>
      <c s="1638"/>
      <c s="2254" t="str">
        <f>IF(TITLE_NAME_OR_PR_CHANGE="",IF(TITLE_NAME_OR_PR="","",TITLE_NAME_OR_PR),TITLE_NAME_OR_PR_CHANGE)</f>
        <v/>
      </c>
      <c s="2254"/>
      <c s="2254"/>
      <c s="2254"/>
      <c s="2254"/>
      <c s="2254"/>
      <c s="2254"/>
      <c s="1638"/>
      <c s="1638"/>
      <c s="283"/>
      <c s="371"/>
      <c s="371"/>
      <c s="371"/>
      <c s="371"/>
      <c s="371"/>
      <c s="421">
        <v>0</v>
      </c>
    </row>
    <row r="30" spans="1:45" s="1856" customFormat="1" ht="18.75" customHeight="1" hidden="1">
      <c r="A30" s="1251"/>
      <c s="1251"/>
      <c s="1251"/>
      <c s="1251"/>
      <c s="1251"/>
      <c s="1251"/>
      <c s="1251"/>
      <c s="1251"/>
      <c s="1251"/>
      <c s="1251"/>
      <c s="1251"/>
      <c s="1383"/>
      <c s="1251"/>
      <c s="1251"/>
      <c s="1251"/>
      <c r="S30" s="2253" t="s">
        <v>423</v>
      </c>
      <c s="2253"/>
      <c s="1375"/>
      <c s="2267" t="str">
        <f>IF(TITLE_DATE_PR_CHANGE="",IF(TITLE_DATE_PR="","",TITLE_DATE_PR),TITLE_DATE_PR_CHANGE)</f>
        <v/>
      </c>
      <c s="2267"/>
      <c s="2267"/>
      <c s="2267"/>
      <c s="2267"/>
      <c s="2267"/>
      <c s="2267"/>
      <c s="1638"/>
      <c s="2267" t="str">
        <f>IF(TITLE_DATE_PR_CHANGE="",IF(TITLE_DATE_PR="","",TITLE_DATE_PR),TITLE_DATE_PR_CHANGE)</f>
        <v/>
      </c>
      <c s="2267"/>
      <c s="2267"/>
      <c s="2267"/>
      <c s="2267"/>
      <c s="2267"/>
      <c s="2267"/>
      <c s="1638"/>
      <c s="1638"/>
      <c s="283"/>
      <c s="371"/>
      <c s="371"/>
      <c s="371"/>
      <c s="371"/>
      <c s="371"/>
      <c s="421">
        <v>0</v>
      </c>
    </row>
    <row r="31" spans="1:45" s="1856" customFormat="1" ht="18.75" customHeight="1" hidden="1">
      <c r="A31" s="1251"/>
      <c s="1251"/>
      <c s="1251"/>
      <c s="1251"/>
      <c s="1251"/>
      <c s="1251"/>
      <c s="1251"/>
      <c s="1251"/>
      <c s="1251"/>
      <c s="1251"/>
      <c s="1251"/>
      <c s="1383"/>
      <c s="1251"/>
      <c s="1251"/>
      <c s="1251"/>
      <c r="S31" s="2253" t="s">
        <v>424</v>
      </c>
      <c s="2253"/>
      <c s="1375"/>
      <c s="2254" t="str">
        <f>IF(TITLE_NUMBER_PR_CHANGE="",IF(TITLE_NUMBER_PR="","",TITLE_NUMBER_PR),TITLE_NUMBER_PR_CHANGE)</f>
        <v/>
      </c>
      <c s="2254"/>
      <c s="2254"/>
      <c s="2254"/>
      <c s="2254"/>
      <c s="2254"/>
      <c s="2254"/>
      <c s="1638"/>
      <c s="2254" t="str">
        <f>IF(TITLE_NUMBER_PR_CHANGE="",IF(TITLE_NUMBER_PR="","",TITLE_NUMBER_PR),TITLE_NUMBER_PR_CHANGE)</f>
        <v/>
      </c>
      <c s="2254"/>
      <c s="2254"/>
      <c s="2254"/>
      <c s="2254"/>
      <c s="2254"/>
      <c s="2254"/>
      <c s="1638"/>
      <c s="1638"/>
      <c s="283"/>
      <c s="371"/>
      <c s="371"/>
      <c s="371"/>
      <c s="371"/>
      <c s="371"/>
      <c s="421">
        <v>0</v>
      </c>
    </row>
    <row r="32" spans="1:45" s="1856" customFormat="1" ht="18.75" customHeight="1" hidden="1">
      <c r="A32" s="1251"/>
      <c s="1251"/>
      <c s="1251"/>
      <c s="1251"/>
      <c s="1251"/>
      <c s="1251"/>
      <c s="1251"/>
      <c s="1251"/>
      <c s="1251"/>
      <c s="1251"/>
      <c s="1251"/>
      <c s="1383"/>
      <c s="1251"/>
      <c s="1251"/>
      <c s="1251"/>
      <c r="S32" s="2253" t="s">
        <v>43</v>
      </c>
      <c s="2253"/>
      <c s="1375"/>
      <c s="2254" t="str">
        <f>IF(TITLE_IST_PUB_CHANGE="",IF(TITLE_IST_PUB="","",TITLE_IST_PUB),TITLE_IST_PUB_CHANGE)</f>
        <v/>
      </c>
      <c s="2254"/>
      <c s="2254"/>
      <c s="2254"/>
      <c s="2254"/>
      <c s="2254"/>
      <c s="2254"/>
      <c s="1638"/>
      <c s="2254" t="str">
        <f>IF(TITLE_IST_PUB_CHANGE="",IF(TITLE_IST_PUB="","",TITLE_IST_PUB),TITLE_IST_PUB_CHANGE)</f>
        <v/>
      </c>
      <c s="2254"/>
      <c s="2254"/>
      <c s="2254"/>
      <c s="2254"/>
      <c s="2254"/>
      <c s="2254"/>
      <c s="1638"/>
      <c s="1638"/>
      <c s="283"/>
      <c s="371"/>
      <c s="371"/>
      <c s="371"/>
      <c s="371"/>
      <c s="371"/>
      <c s="421">
        <v>0</v>
      </c>
    </row>
    <row r="33" spans="17:45" ht="14.25" customHeight="1" hidden="1">
      <c r="Q33" s="379"/>
      <c s="379"/>
      <c s="1278"/>
      <c s="460"/>
      <c s="460"/>
      <c s="325"/>
      <c s="325"/>
      <c s="325"/>
      <c s="325"/>
      <c s="325"/>
      <c s="325"/>
      <c s="325"/>
      <c s="325"/>
      <c s="325"/>
      <c s="325"/>
      <c s="325"/>
      <c s="325"/>
      <c s="325"/>
      <c s="325"/>
      <c s="325"/>
      <c s="325"/>
      <c s="1638"/>
      <c r="AS33" s="1634">
        <v>0</v>
      </c>
    </row>
    <row r="34" spans="1:45" s="1856" customFormat="1" ht="18.75" customHeight="1" hidden="1">
      <c r="A34" s="1251"/>
      <c s="1251"/>
      <c s="1251"/>
      <c s="1251"/>
      <c s="1251"/>
      <c s="1251"/>
      <c s="1251"/>
      <c s="1251"/>
      <c s="1251"/>
      <c s="1251"/>
      <c s="1251"/>
      <c s="1383"/>
      <c s="1251"/>
      <c s="1251"/>
      <c s="1251"/>
      <c r="S34" s="2253" t="s">
        <v>425</v>
      </c>
      <c s="2253"/>
      <c s="1375"/>
      <c s="2267" t="str">
        <f>IF(TITLE_DATE_PR_CHANGE="",IF(TITLE_DATE_PR="","",TITLE_DATE_PR),TITLE_DATE_PR_CHANGE)</f>
        <v/>
      </c>
      <c s="2267"/>
      <c s="2267"/>
      <c s="2267"/>
      <c s="2267"/>
      <c s="2267"/>
      <c s="2267"/>
      <c s="1638"/>
      <c s="2267" t="str">
        <f>IF(TITLE_DATE_PR_CHANGE="",IF(TITLE_DATE_PR="","",TITLE_DATE_PR),TITLE_DATE_PR_CHANGE)</f>
        <v/>
      </c>
      <c s="2267"/>
      <c s="2267"/>
      <c s="2267"/>
      <c s="2267"/>
      <c s="2267"/>
      <c s="2267"/>
      <c s="1638"/>
      <c s="1638"/>
      <c s="283"/>
      <c s="371"/>
      <c s="371"/>
      <c s="371"/>
      <c s="371"/>
      <c s="371"/>
      <c s="421">
        <v>0</v>
      </c>
    </row>
    <row r="35" spans="1:45" s="1856" customFormat="1" ht="18.75" customHeight="1" hidden="1">
      <c r="A35" s="1251"/>
      <c s="1251"/>
      <c s="1251"/>
      <c s="1251"/>
      <c s="1251"/>
      <c s="1251"/>
      <c s="1251"/>
      <c s="1251"/>
      <c s="1251"/>
      <c s="1251"/>
      <c s="1251"/>
      <c s="1383"/>
      <c s="1251"/>
      <c s="1251"/>
      <c s="1251"/>
      <c r="S35" s="2253" t="s">
        <v>426</v>
      </c>
      <c s="2253"/>
      <c s="1375"/>
      <c s="2254" t="str">
        <f>IF(TITLE_NUMBER_PR_CHANGE="",IF(TITLE_NUMBER_PR="","",TITLE_NUMBER_PR),TITLE_NUMBER_PR_CHANGE)</f>
        <v/>
      </c>
      <c s="2254"/>
      <c s="2254"/>
      <c s="2254"/>
      <c s="2254"/>
      <c s="2254"/>
      <c s="2254"/>
      <c s="1638"/>
      <c s="2254" t="str">
        <f>IF(TITLE_NUMBER_PR_CHANGE="",IF(TITLE_NUMBER_PR="","",TITLE_NUMBER_PR),TITLE_NUMBER_PR_CHANGE)</f>
        <v/>
      </c>
      <c s="2254"/>
      <c s="2254"/>
      <c s="2254"/>
      <c s="2254"/>
      <c s="2254"/>
      <c s="2254"/>
      <c s="1638"/>
      <c s="1638"/>
      <c s="283"/>
      <c s="371"/>
      <c s="371"/>
      <c s="371"/>
      <c s="371"/>
      <c s="371"/>
      <c s="421">
        <v>0</v>
      </c>
    </row>
    <row r="36" spans="1:45" s="1856" customFormat="1" ht="0" customHeight="1">
      <c r="A36" s="1251"/>
      <c s="1251"/>
      <c s="1251"/>
      <c s="1251"/>
      <c s="1251"/>
      <c s="1251"/>
      <c s="1251"/>
      <c s="1251"/>
      <c s="1251"/>
      <c s="1251"/>
      <c s="1251"/>
      <c s="1383"/>
      <c s="1251"/>
      <c s="1251"/>
      <c s="1251"/>
      <c r="S36" s="1638"/>
      <c s="1638"/>
      <c s="1973"/>
      <c s="1638"/>
      <c s="1638"/>
      <c s="1638"/>
      <c s="1638"/>
      <c s="1638"/>
      <c s="1638"/>
      <c s="1638"/>
      <c s="1645" t="s">
        <v>427</v>
      </c>
      <c s="1638"/>
      <c s="1638"/>
      <c s="1638"/>
      <c s="1638"/>
      <c s="1638"/>
      <c s="1638"/>
      <c s="1638"/>
      <c s="1645" t="s">
        <v>427</v>
      </c>
      <c r="AN36" s="371"/>
      <c s="371"/>
      <c s="371"/>
      <c s="371"/>
      <c s="371"/>
      <c s="421">
        <v>0</v>
      </c>
    </row>
    <row r="37" spans="17:45" ht="14.7" customHeight="1">
      <c r="Q37" s="379"/>
      <c s="379"/>
      <c s="1278"/>
      <c s="460"/>
      <c s="1247"/>
      <c s="2255"/>
      <c s="2255"/>
      <c s="2255"/>
      <c s="2255"/>
      <c s="2255"/>
      <c s="2255"/>
      <c s="2255"/>
      <c s="2255"/>
      <c s="2255"/>
      <c s="2255"/>
      <c s="2255"/>
      <c s="2255"/>
      <c s="2255"/>
      <c s="2255"/>
      <c s="2255"/>
      <c s="2255"/>
      <c r="AS37" s="1634">
        <v>14</v>
      </c>
    </row>
    <row r="38" spans="17:45" ht="14.7" customHeight="1">
      <c r="Q38" s="379"/>
      <c s="379"/>
      <c s="2130" t="s">
        <v>300</v>
      </c>
      <c s="2130"/>
      <c s="2130"/>
      <c s="2130"/>
      <c s="2130"/>
      <c s="2130"/>
      <c s="2130"/>
      <c s="2130"/>
      <c s="2130"/>
      <c s="2130"/>
      <c s="2130"/>
      <c s="2130"/>
      <c s="2130"/>
      <c s="2130"/>
      <c s="2130"/>
      <c s="2130"/>
      <c s="2130"/>
      <c s="2130"/>
      <c s="2130"/>
      <c s="2130"/>
      <c s="2130" t="s">
        <v>301</v>
      </c>
      <c r="AS38" s="1634">
        <v>14</v>
      </c>
    </row>
    <row r="39" spans="17:45" ht="14.7" customHeight="1">
      <c r="Q39" s="379"/>
      <c s="379"/>
      <c s="2276" t="s">
        <v>87</v>
      </c>
      <c s="2212" t="s">
        <v>428</v>
      </c>
      <c s="340"/>
      <c s="2277" t="s">
        <v>429</v>
      </c>
      <c s="2278"/>
      <c s="2278"/>
      <c s="2278"/>
      <c s="2278"/>
      <c s="2278"/>
      <c s="2279"/>
      <c s="2280" t="s">
        <v>430</v>
      </c>
      <c s="2277" t="s">
        <v>429</v>
      </c>
      <c s="2278"/>
      <c s="2278"/>
      <c s="2278"/>
      <c s="2278"/>
      <c s="2278"/>
      <c s="2279"/>
      <c s="2280" t="s">
        <v>431</v>
      </c>
      <c s="2283" t="s">
        <v>432</v>
      </c>
      <c s="2130"/>
      <c r="AS39" s="1634">
        <v>14</v>
      </c>
    </row>
    <row r="40" spans="17:45" ht="35.7" customHeight="1">
      <c r="Q40" s="379"/>
      <c s="379"/>
      <c s="2276"/>
      <c s="2212"/>
      <c s="1034"/>
      <c s="2263" t="s">
        <v>433</v>
      </c>
      <c s="2286" t="s">
        <v>434</v>
      </c>
      <c s="2265" t="s">
        <v>435</v>
      </c>
      <c s="2266"/>
      <c s="2265" t="s">
        <v>449</v>
      </c>
      <c s="2272"/>
      <c s="2266"/>
      <c s="2281"/>
      <c s="2263" t="s">
        <v>433</v>
      </c>
      <c s="2286" t="s">
        <v>434</v>
      </c>
      <c s="2265" t="s">
        <v>435</v>
      </c>
      <c s="2266"/>
      <c s="2265" t="s">
        <v>436</v>
      </c>
      <c s="2272"/>
      <c s="2266"/>
      <c s="2281"/>
      <c s="2284"/>
      <c s="2130"/>
      <c r="AS40" s="1634">
        <v>34</v>
      </c>
    </row>
    <row r="41" spans="1:45" ht="35.7" customHeight="1">
      <c r="A41" s="1269"/>
      <c s="1269" t="s">
        <v>137</v>
      </c>
      <c s="1269" t="s">
        <v>138</v>
      </c>
      <c s="1269" t="s">
        <v>139</v>
      </c>
      <c s="1313" t="s">
        <v>437</v>
      </c>
      <c s="1313" t="s">
        <v>438</v>
      </c>
      <c s="1313" t="s">
        <v>439</v>
      </c>
      <c s="1313" t="s">
        <v>440</v>
      </c>
      <c s="1313" t="s">
        <v>441</v>
      </c>
      <c s="1313" t="s">
        <v>442</v>
      </c>
      <c s="1313" t="s">
        <v>443</v>
      </c>
      <c s="1313" t="s">
        <v>418</v>
      </c>
      <c r="Q41" s="379"/>
      <c s="379"/>
      <c s="2276"/>
      <c s="2212"/>
      <c s="305"/>
      <c s="2264"/>
      <c s="2287"/>
      <c s="1941" t="s">
        <v>444</v>
      </c>
      <c s="1941" t="s">
        <v>445</v>
      </c>
      <c s="1941" t="s">
        <v>446</v>
      </c>
      <c s="2273" t="s">
        <v>447</v>
      </c>
      <c s="2274"/>
      <c s="2282"/>
      <c s="2264"/>
      <c s="2287"/>
      <c s="1941" t="s">
        <v>444</v>
      </c>
      <c s="1941" t="s">
        <v>445</v>
      </c>
      <c s="1941" t="s">
        <v>446</v>
      </c>
      <c s="2273" t="s">
        <v>447</v>
      </c>
      <c s="2274"/>
      <c s="2282"/>
      <c s="2285"/>
      <c s="2130"/>
      <c r="AS41" s="1634">
        <v>34</v>
      </c>
    </row>
    <row r="42" spans="1:45" s="1644" customFormat="1" ht="11.25" customHeight="1" hidden="1">
      <c r="A42" s="1269"/>
      <c s="1269"/>
      <c s="1269"/>
      <c s="1269"/>
      <c s="1269"/>
      <c s="1269"/>
      <c s="1269"/>
      <c s="1269"/>
      <c s="1269"/>
      <c s="1269"/>
      <c s="1269"/>
      <c s="1313"/>
      <c s="1968"/>
      <c s="1968"/>
      <c s="1968"/>
      <c s="1249"/>
      <c s="1250"/>
      <c s="1257">
        <v>1</v>
      </c>
      <c s="1280" t="s">
        <v>109</v>
      </c>
      <c s="1258" t="s">
        <v>110</v>
      </c>
      <c s="1248" t="str">
        <f ca="1">OFFSET(U42,0,-1)</f>
        <v>2</v>
      </c>
      <c s="1959">
        <f ca="1">OFFSET(V42,0,-1)+1</f>
        <v>3</v>
      </c>
      <c s="1959"/>
      <c s="1959">
        <f ca="1">OFFSET(X42,0,-1)+1</f>
        <v>1</v>
      </c>
      <c s="1959">
        <f ca="1">OFFSET(Y42,0,-1)+1</f>
        <v>2</v>
      </c>
      <c s="1959">
        <f ca="1">OFFSET(Z42,0,-1)+1</f>
        <v>3</v>
      </c>
      <c s="2275">
        <f ca="1">OFFSET(AA42,0,-1)+1</f>
        <v>4</v>
      </c>
      <c s="2275"/>
      <c s="1959">
        <f ca="1">OFFSET(AC42,0,-2)+1</f>
        <v>5</v>
      </c>
      <c s="1959">
        <f ca="1">OFFSET(AD42,0,-1)+1</f>
        <v>6</v>
      </c>
      <c s="1959"/>
      <c s="1959">
        <f ca="1">OFFSET(AF42,0,-1)+1</f>
        <v>1</v>
      </c>
      <c s="1959">
        <f ca="1">OFFSET(AG42,0,-1)+1</f>
        <v>2</v>
      </c>
      <c s="1959">
        <f ca="1">OFFSET(AH42,0,-1)+1</f>
        <v>3</v>
      </c>
      <c s="2275">
        <f ca="1">OFFSET(AI42,0,-1)+1</f>
        <v>4</v>
      </c>
      <c s="2275"/>
      <c s="1959">
        <f ca="1">OFFSET(AK42,0,-2)+1</f>
        <v>5</v>
      </c>
      <c s="1248">
        <f ca="1">OFFSET(AL42,0,-1)</f>
        <v>5</v>
      </c>
      <c s="1959">
        <f ca="1">OFFSET(AM42,0,-1)+1</f>
        <v>6</v>
      </c>
      <c s="1639"/>
      <c s="1639"/>
      <c s="1639"/>
      <c s="1639"/>
      <c s="1639"/>
      <c s="1644">
        <v>0</v>
      </c>
    </row>
    <row r="43" spans="1:45" ht="22.05" customHeight="1">
      <c r="A43" s="1270" t="s">
        <v>212</v>
      </c>
      <c s="1270"/>
      <c s="1270"/>
      <c s="1270"/>
      <c s="2292">
        <v>1</v>
      </c>
      <c s="1270"/>
      <c s="1270"/>
      <c s="1270"/>
      <c s="1270"/>
      <c s="1270"/>
      <c s="1270"/>
      <c s="1313"/>
      <c s="1613"/>
      <c s="1613"/>
      <c s="1613"/>
      <c s="1593"/>
      <c s="363"/>
      <c s="358"/>
      <c s="1961">
        <f>INDEX(PT_DIFFERENTIATION_NUM_NTAR,MATCH(A43,PT_DIFFERENTIATION_NTAR_ID,0))</f>
        <v>0</v>
      </c>
      <c s="1528" t="s">
        <v>125</v>
      </c>
      <c s="303"/>
      <c s="2245"/>
      <c s="2246"/>
      <c s="2246"/>
      <c s="2246"/>
      <c s="2246"/>
      <c s="2246"/>
      <c s="2246"/>
      <c s="2247"/>
      <c s="2245" t="str">
        <f>INDEX(PT_DIFFERENTIATION_NTAR,MATCH(A43,PT_DIFFERENTIATION_NTAR_ID,0))</f>
        <v/>
      </c>
      <c s="2246"/>
      <c s="2246"/>
      <c s="2246"/>
      <c s="2246"/>
      <c s="2246"/>
      <c s="2246"/>
      <c s="2246"/>
      <c s="2247"/>
      <c s="1261"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1627"/>
      <c s="1627" t="str">
        <f>IF(T43="","",T43)</f>
        <v>Наименование тарифа</v>
      </c>
      <c s="1627"/>
      <c s="1627"/>
      <c s="1634">
        <v>21</v>
      </c>
    </row>
    <row r="44" spans="1:45" ht="22.05" customHeight="1">
      <c r="A44" s="1270" t="s">
        <v>212</v>
      </c>
      <c s="1270" t="s">
        <v>213</v>
      </c>
      <c s="1270"/>
      <c s="1270"/>
      <c s="2293"/>
      <c s="2292">
        <v>1</v>
      </c>
      <c s="1270"/>
      <c s="1270"/>
      <c s="1270"/>
      <c s="1270"/>
      <c s="1270"/>
      <c s="1313"/>
      <c s="1613"/>
      <c s="1613"/>
      <c s="1613"/>
      <c s="1943"/>
      <c s="355"/>
      <c s="356"/>
      <c s="1961" t="str">
        <f>INDEX(PT_DIFFERENTIATION_NUM_TER,MATCH(B44,PT_DIFFERENTIATION_TER_ID,0))</f>
        <v>.</v>
      </c>
      <c s="1525" t="s">
        <v>397</v>
      </c>
      <c s="303"/>
      <c s="2245"/>
      <c s="2246"/>
      <c s="2246"/>
      <c s="2246"/>
      <c s="2246"/>
      <c s="2246"/>
      <c s="2246"/>
      <c s="2247"/>
      <c s="2245" t="str">
        <f>INDEX(PT_DIFFERENTIATION_TER,MATCH(B44,PT_DIFFERENTIATION_TER_ID,0))</f>
        <v/>
      </c>
      <c s="2246"/>
      <c s="2246"/>
      <c s="2246"/>
      <c s="2246"/>
      <c s="2246"/>
      <c s="2246"/>
      <c s="2246"/>
      <c s="2247"/>
      <c s="1261" t="s">
        <v>398</v>
      </c>
      <c r="AO44" s="1627"/>
      <c s="1627" t="str">
        <f>IF(T44="","",T44)</f>
        <v>Территория действия тарифа</v>
      </c>
      <c s="1627"/>
      <c s="1627"/>
      <c s="1634">
        <v>21</v>
      </c>
    </row>
    <row r="45" spans="1:45" ht="24" customHeight="1">
      <c r="A45" s="1270" t="s">
        <v>212</v>
      </c>
      <c s="1270" t="s">
        <v>213</v>
      </c>
      <c s="1270" t="s">
        <v>214</v>
      </c>
      <c s="1270"/>
      <c s="2293"/>
      <c s="2293"/>
      <c s="2292">
        <v>1</v>
      </c>
      <c s="1270"/>
      <c s="1270"/>
      <c s="1270"/>
      <c s="1270"/>
      <c s="1313"/>
      <c s="1613"/>
      <c s="1613"/>
      <c s="1613"/>
      <c s="357"/>
      <c s="355"/>
      <c s="356"/>
      <c s="1961" t="str">
        <f>INDEX(PT_DIFFERENTIATION_NUM_CS,MATCH(C45,PT_DIFFERENTIATION_CS_ID,0))</f>
        <v>..</v>
      </c>
      <c s="312" t="s">
        <v>399</v>
      </c>
      <c s="303"/>
      <c s="2245"/>
      <c s="2246"/>
      <c s="2246"/>
      <c s="2246"/>
      <c s="2246"/>
      <c s="2246"/>
      <c s="2246"/>
      <c s="2247"/>
      <c s="2245" t="str">
        <f>INDEX(PT_DIFFERENTIATION_CS,MATCH(C45,PT_DIFFERENTIATION_CS_ID,0))</f>
        <v/>
      </c>
      <c s="2246"/>
      <c s="2246"/>
      <c s="2246"/>
      <c s="2246"/>
      <c s="2246"/>
      <c s="2246"/>
      <c s="2246"/>
      <c s="2247"/>
      <c s="1261" t="s">
        <v>400</v>
      </c>
      <c r="AO45" s="1627"/>
      <c s="1627" t="str">
        <f>IF(T45="","",T45)</f>
        <v>Наименование системы теплоснабжения</v>
      </c>
      <c s="1627"/>
      <c s="1627"/>
      <c s="1634">
        <v>23</v>
      </c>
    </row>
    <row r="46" spans="1:45" ht="22.05" customHeight="1">
      <c r="A46" s="1270" t="s">
        <v>212</v>
      </c>
      <c s="1270" t="s">
        <v>213</v>
      </c>
      <c s="1270" t="s">
        <v>214</v>
      </c>
      <c s="1270" t="s">
        <v>215</v>
      </c>
      <c s="2293"/>
      <c s="2293"/>
      <c s="2293"/>
      <c s="2292">
        <v>1</v>
      </c>
      <c s="1270"/>
      <c s="1270"/>
      <c s="1270"/>
      <c s="1313"/>
      <c s="1613"/>
      <c s="1613"/>
      <c s="1613"/>
      <c s="357"/>
      <c s="355"/>
      <c s="356"/>
      <c s="1961" t="str">
        <f>INDEX(PT_DIFFERENTIATION_NUM_IST_TE,MATCH(D46,PT_DIFFERENTIATION_IST_TE_ID,0))</f>
        <v>...</v>
      </c>
      <c s="313" t="s">
        <v>401</v>
      </c>
      <c s="303"/>
      <c s="2245"/>
      <c s="2246"/>
      <c s="2246"/>
      <c s="2246"/>
      <c s="2246"/>
      <c s="2246"/>
      <c s="2246"/>
      <c s="2247"/>
      <c s="2245" t="str">
        <f>INDEX(PT_DIFFERENTIATION_IST_TE,MATCH(D46,PT_DIFFERENTIATION_IST_TE_ID,0))</f>
        <v/>
      </c>
      <c s="2246"/>
      <c s="2246"/>
      <c s="2246"/>
      <c s="2246"/>
      <c s="2246"/>
      <c s="2246"/>
      <c s="2246"/>
      <c s="2247"/>
      <c s="1261" t="s">
        <v>402</v>
      </c>
      <c r="AO46" s="1627"/>
      <c s="1627" t="str">
        <f>IF(T46="","",T46)</f>
        <v>Источник тепловой энергии</v>
      </c>
      <c s="1627"/>
      <c s="1627"/>
      <c s="1634">
        <v>21</v>
      </c>
    </row>
    <row r="47" spans="1:45" ht="49.5" customHeight="1">
      <c r="A47" s="1270" t="s">
        <v>212</v>
      </c>
      <c s="1270" t="s">
        <v>213</v>
      </c>
      <c s="1270" t="s">
        <v>214</v>
      </c>
      <c s="1270" t="s">
        <v>215</v>
      </c>
      <c s="2293"/>
      <c s="2293"/>
      <c s="2293"/>
      <c s="2293"/>
      <c s="2130" t="str">
        <f>S46&amp;".1"</f>
        <v>....1</v>
      </c>
      <c s="1270"/>
      <c s="1270"/>
      <c s="1313" t="s">
        <v>403</v>
      </c>
      <c r="P47" s="2260">
        <v>1</v>
      </c>
      <c s="1957"/>
      <c s="359"/>
      <c s="1961" t="str">
        <f>$I47</f>
        <v>....1</v>
      </c>
      <c s="288" t="s">
        <v>404</v>
      </c>
      <c s="303"/>
      <c s="2248"/>
      <c s="2249"/>
      <c s="2249"/>
      <c s="2249"/>
      <c s="2249"/>
      <c s="2249"/>
      <c s="2249"/>
      <c s="2250"/>
      <c s="2248"/>
      <c s="2249"/>
      <c s="2249"/>
      <c s="2249"/>
      <c s="2249"/>
      <c s="2249"/>
      <c s="2249"/>
      <c s="2249"/>
      <c s="2250"/>
      <c s="1261" t="s">
        <v>405</v>
      </c>
      <c r="AO47" s="1627"/>
      <c s="1627" t="str">
        <f>IF(T47="","",T47)</f>
        <v>Схема подключения теплопотребляющей установки к коллектору источника тепловой энергии</v>
      </c>
      <c s="1627"/>
      <c s="1627"/>
      <c s="1634">
        <v>47</v>
      </c>
    </row>
    <row r="48" spans="1:45" ht="22.05" customHeight="1">
      <c r="A48" s="1270" t="s">
        <v>212</v>
      </c>
      <c s="1270" t="s">
        <v>213</v>
      </c>
      <c s="1270" t="s">
        <v>214</v>
      </c>
      <c s="1270" t="s">
        <v>215</v>
      </c>
      <c s="2293"/>
      <c s="2293"/>
      <c s="2293"/>
      <c s="2293"/>
      <c s="2104"/>
      <c s="2130" t="str">
        <f>I47&amp;".1"</f>
        <v>....1.1</v>
      </c>
      <c s="1270"/>
      <c s="1313" t="s">
        <v>406</v>
      </c>
      <c r="P48" s="2260"/>
      <c s="2260">
        <v>1</v>
      </c>
      <c s="360"/>
      <c s="1961" t="str">
        <f>$J48</f>
        <v>....1.1</v>
      </c>
      <c s="289" t="s">
        <v>407</v>
      </c>
      <c s="303"/>
      <c s="2248"/>
      <c s="2249"/>
      <c s="2249"/>
      <c s="2249"/>
      <c s="2249"/>
      <c s="2249"/>
      <c s="2249"/>
      <c s="2250"/>
      <c s="2248"/>
      <c s="2249"/>
      <c s="2249"/>
      <c s="2249"/>
      <c s="2249"/>
      <c s="2249"/>
      <c s="2249"/>
      <c s="2249"/>
      <c s="2250"/>
      <c s="1261" t="s">
        <v>408</v>
      </c>
      <c r="AO48" s="1627"/>
      <c s="1627" t="str">
        <f>IF(T48="","",T48)</f>
        <v>Группа потребителей</v>
      </c>
      <c s="1627"/>
      <c s="1627"/>
      <c s="1634">
        <v>21</v>
      </c>
    </row>
    <row r="49" spans="1:45" ht="22.05" customHeight="1">
      <c r="A49" s="1270" t="s">
        <v>212</v>
      </c>
      <c s="1270" t="s">
        <v>213</v>
      </c>
      <c s="1270" t="s">
        <v>214</v>
      </c>
      <c s="1270" t="s">
        <v>215</v>
      </c>
      <c s="2293"/>
      <c s="2293"/>
      <c s="2293"/>
      <c s="2293"/>
      <c s="2104"/>
      <c s="2104"/>
      <c s="2130" t="str">
        <f>J48&amp;".1"</f>
        <v>....1.1.1</v>
      </c>
      <c s="1313" t="s">
        <v>409</v>
      </c>
      <c r="P49" s="2260"/>
      <c s="2260"/>
      <c s="360">
        <v>1</v>
      </c>
      <c s="1961" t="str">
        <f>$K49</f>
        <v>....1.1.1</v>
      </c>
      <c s="1350"/>
      <c s="303"/>
      <c s="754"/>
      <c s="328"/>
      <c s="754"/>
      <c s="1260"/>
      <c s="2268"/>
      <c s="2110" t="s">
        <v>65</v>
      </c>
      <c s="2268"/>
      <c s="2110" t="s">
        <v>65</v>
      </c>
      <c s="754"/>
      <c s="328"/>
      <c s="754"/>
      <c s="1260"/>
      <c s="2268"/>
      <c s="2110" t="s">
        <v>65</v>
      </c>
      <c s="2290"/>
      <c s="2110" t="s">
        <v>65</v>
      </c>
      <c s="1351"/>
      <c s="2256" t="s">
        <v>410</v>
      </c>
      <c s="1639">
        <f>STRCHECKDATE(V50:AL50)</f>
      </c>
      <c s="1627"/>
      <c s="1627" t="str">
        <f>IF(T49="","",T49)</f>
        <v/>
      </c>
      <c s="1627"/>
      <c s="1627"/>
      <c s="1634">
        <v>21</v>
      </c>
    </row>
    <row r="50" spans="1:45" ht="1.05" customHeight="1">
      <c r="A50" s="1270" t="s">
        <v>212</v>
      </c>
      <c s="1270" t="s">
        <v>213</v>
      </c>
      <c s="1270" t="s">
        <v>214</v>
      </c>
      <c s="1270" t="s">
        <v>215</v>
      </c>
      <c s="2293"/>
      <c s="2293"/>
      <c s="2293"/>
      <c s="2293"/>
      <c s="2104"/>
      <c s="2104"/>
      <c s="2130"/>
      <c s="1313"/>
      <c r="P50" s="2260"/>
      <c s="2260"/>
      <c s="360"/>
      <c s="1970"/>
      <c s="303"/>
      <c s="303"/>
      <c s="328"/>
      <c s="328"/>
      <c s="328"/>
      <c s="331" t="str">
        <f>Z49&amp;"-"&amp;AB49</f>
        <v>-</v>
      </c>
      <c s="2269"/>
      <c s="2110"/>
      <c s="2269"/>
      <c s="2110"/>
      <c s="328"/>
      <c s="328"/>
      <c s="328"/>
      <c s="331" t="str">
        <f>AH49&amp;"-"&amp;AJ49</f>
        <v>-</v>
      </c>
      <c s="2269"/>
      <c s="2110"/>
      <c s="2291"/>
      <c s="2110"/>
      <c s="1352"/>
      <c s="2257"/>
      <c r="AO50" s="1627"/>
      <c s="1627" t="str">
        <f>IF(T50="","",T50)</f>
        <v/>
      </c>
      <c s="1627"/>
      <c s="1627"/>
      <c s="1634">
        <v>1</v>
      </c>
    </row>
    <row r="51" spans="1:45" ht="11.55" customHeight="1">
      <c r="A51" s="1270" t="s">
        <v>212</v>
      </c>
      <c s="1270" t="s">
        <v>213</v>
      </c>
      <c s="1270" t="s">
        <v>214</v>
      </c>
      <c s="1270" t="s">
        <v>215</v>
      </c>
      <c s="2293"/>
      <c s="2293"/>
      <c s="2293"/>
      <c s="2293"/>
      <c s="2104"/>
      <c s="2130"/>
      <c s="1270"/>
      <c s="1313"/>
      <c r="P51" s="2260"/>
      <c s="2260"/>
      <c s="359"/>
      <c s="1281"/>
      <c s="291" t="s">
        <v>411</v>
      </c>
      <c s="603"/>
      <c s="603"/>
      <c s="603"/>
      <c s="603"/>
      <c s="603"/>
      <c s="603"/>
      <c s="603"/>
      <c s="603"/>
      <c s="603"/>
      <c s="603"/>
      <c s="603"/>
      <c s="603"/>
      <c s="603"/>
      <c s="603"/>
      <c s="603"/>
      <c s="603"/>
      <c s="603"/>
      <c s="327"/>
      <c s="2258"/>
      <c r="AO51" s="1627"/>
      <c s="1627" t="str">
        <f>IF(T51="","",T51)</f>
        <v>Добавить вид теплоносителя (параметры теплоносителя)</v>
      </c>
      <c s="1627"/>
      <c s="1627"/>
      <c s="1634">
        <v>11</v>
      </c>
    </row>
    <row r="52" spans="1:45" ht="11.55" customHeight="1">
      <c r="A52" s="1270" t="s">
        <v>212</v>
      </c>
      <c s="1270" t="s">
        <v>213</v>
      </c>
      <c s="1270" t="s">
        <v>214</v>
      </c>
      <c s="1270" t="s">
        <v>215</v>
      </c>
      <c s="2293"/>
      <c s="2293"/>
      <c s="2293"/>
      <c s="2293"/>
      <c s="2130"/>
      <c s="1270"/>
      <c s="1270"/>
      <c s="1313"/>
      <c r="P52" s="2260"/>
      <c s="1957"/>
      <c s="359"/>
      <c s="1281"/>
      <c s="290" t="s">
        <v>412</v>
      </c>
      <c s="603"/>
      <c s="603"/>
      <c s="603"/>
      <c s="603"/>
      <c s="603"/>
      <c s="603"/>
      <c s="603"/>
      <c s="603"/>
      <c s="369"/>
      <c s="603"/>
      <c s="603"/>
      <c s="603"/>
      <c s="603"/>
      <c s="603"/>
      <c s="603"/>
      <c s="603"/>
      <c s="369"/>
      <c s="603"/>
      <c s="306"/>
      <c r="AO52" s="1627"/>
      <c s="1627" t="str">
        <f>IF(T52="","",T52)</f>
        <v>Добавить группу потребителей</v>
      </c>
      <c s="1627"/>
      <c s="1627"/>
      <c s="1634">
        <v>11</v>
      </c>
    </row>
    <row r="53" spans="1:45" ht="14.7" customHeight="1">
      <c r="A53" s="1270" t="s">
        <v>212</v>
      </c>
      <c s="1270" t="s">
        <v>213</v>
      </c>
      <c s="1270" t="s">
        <v>214</v>
      </c>
      <c s="1270" t="s">
        <v>215</v>
      </c>
      <c s="2293"/>
      <c s="2293"/>
      <c s="2293"/>
      <c s="2292"/>
      <c s="1270"/>
      <c s="1270"/>
      <c s="1270"/>
      <c s="1313"/>
      <c s="1613"/>
      <c s="1613"/>
      <c s="1638"/>
      <c s="363"/>
      <c s="378"/>
      <c s="358"/>
      <c s="1281"/>
      <c s="368" t="s">
        <v>413</v>
      </c>
      <c s="603"/>
      <c s="603"/>
      <c s="603"/>
      <c s="603"/>
      <c s="603"/>
      <c s="603"/>
      <c s="603"/>
      <c s="603"/>
      <c s="369"/>
      <c s="603"/>
      <c s="603"/>
      <c s="603"/>
      <c s="603"/>
      <c s="603"/>
      <c s="603"/>
      <c s="603"/>
      <c s="369"/>
      <c s="603"/>
      <c s="306"/>
      <c r="AO53" s="1627"/>
      <c s="1627" t="str">
        <f>IF(T53="","",T53)</f>
        <v>Добавить схему подключения</v>
      </c>
      <c s="1627"/>
      <c s="1627"/>
      <c s="1634">
        <v>14</v>
      </c>
    </row>
    <row r="54" spans="1:45" s="1645" customFormat="1" ht="1.05" customHeight="1">
      <c r="A54" s="1270" t="s">
        <v>212</v>
      </c>
      <c s="1270" t="s">
        <v>213</v>
      </c>
      <c s="1270" t="s">
        <v>214</v>
      </c>
      <c s="1977"/>
      <c s="2293"/>
      <c s="2293"/>
      <c s="2292"/>
      <c s="1977"/>
      <c s="1977"/>
      <c s="1977"/>
      <c s="1977"/>
      <c s="1383"/>
      <c s="1613"/>
      <c s="1613"/>
      <c s="1638"/>
      <c s="1319"/>
      <c s="1320"/>
      <c s="1319"/>
      <c s="1325"/>
      <c s="1328" t="s">
        <v>414</v>
      </c>
      <c s="1327"/>
      <c s="1327"/>
      <c s="1327"/>
      <c s="1327"/>
      <c s="1327"/>
      <c s="1327"/>
      <c s="1327"/>
      <c s="1327"/>
      <c s="1327"/>
      <c s="1327"/>
      <c s="1327"/>
      <c s="1327"/>
      <c s="1327"/>
      <c s="1327"/>
      <c s="1327"/>
      <c s="1327"/>
      <c s="1327"/>
      <c s="1327"/>
      <c s="1327"/>
      <c r="AO54" s="1254"/>
      <c s="1254" t="str">
        <f>IF(T54="","",T54)</f>
        <v>Добавить источник для дифференциации</v>
      </c>
      <c s="1254"/>
      <c s="1254"/>
      <c s="1645">
        <v>1</v>
      </c>
    </row>
    <row r="55" spans="1:45" s="1645" customFormat="1" ht="1.05" customHeight="1">
      <c r="A55" s="1270" t="s">
        <v>212</v>
      </c>
      <c s="1270" t="s">
        <v>213</v>
      </c>
      <c s="1977"/>
      <c s="1977"/>
      <c s="2293"/>
      <c s="2292"/>
      <c s="1977"/>
      <c s="1977"/>
      <c s="1977"/>
      <c s="1977"/>
      <c s="1977"/>
      <c s="1383"/>
      <c s="1978"/>
      <c s="1978"/>
      <c s="1638"/>
      <c s="1319"/>
      <c s="1320"/>
      <c s="1319"/>
      <c s="1325"/>
      <c s="1328" t="s">
        <v>415</v>
      </c>
      <c s="1327"/>
      <c s="1327"/>
      <c s="1327"/>
      <c s="1327"/>
      <c s="1327"/>
      <c s="1327"/>
      <c s="1327"/>
      <c s="1327"/>
      <c s="1327"/>
      <c s="1327"/>
      <c s="1327"/>
      <c s="1327"/>
      <c s="1327"/>
      <c s="1327"/>
      <c s="1327"/>
      <c s="1327"/>
      <c s="1327"/>
      <c s="1327"/>
      <c s="1327"/>
      <c r="AO55" s="1254"/>
      <c s="1254" t="str">
        <f>IF(T55="","",T55)</f>
        <v>Добавить централизованную систему для дифференциации</v>
      </c>
      <c s="1254"/>
      <c s="1254"/>
      <c s="1645">
        <v>1</v>
      </c>
    </row>
    <row r="56" spans="1:45" s="1645" customFormat="1" ht="1.05" customHeight="1">
      <c r="A56" s="1270" t="s">
        <v>212</v>
      </c>
      <c s="1270"/>
      <c s="1270"/>
      <c s="1270"/>
      <c s="2292"/>
      <c s="1270"/>
      <c s="1270"/>
      <c s="1270"/>
      <c s="1270"/>
      <c s="1270"/>
      <c s="1270"/>
      <c s="1313"/>
      <c s="1978"/>
      <c s="1978"/>
      <c s="1638"/>
      <c s="383"/>
      <c s="1347"/>
      <c s="383"/>
      <c s="1325"/>
      <c s="1328" t="s">
        <v>416</v>
      </c>
      <c s="1327"/>
      <c s="1327"/>
      <c s="1327"/>
      <c s="1327"/>
      <c s="1327"/>
      <c s="1327"/>
      <c s="1327"/>
      <c s="1327"/>
      <c s="1327"/>
      <c s="1327"/>
      <c s="1327"/>
      <c s="1327"/>
      <c s="1327"/>
      <c s="1327"/>
      <c s="1327"/>
      <c s="1327"/>
      <c s="1327"/>
      <c s="1327"/>
      <c s="1327"/>
      <c r="AO56" s="1627"/>
      <c s="1627" t="str">
        <f>IF(T56="","",T56)</f>
        <v>Добавить территорию для дифференциации</v>
      </c>
      <c s="1627"/>
      <c s="1627"/>
      <c s="1639">
        <v>1</v>
      </c>
    </row>
    <row r="57" spans="1:45" s="1645" customFormat="1" ht="1.05" customHeight="1">
      <c r="A57" s="1977"/>
      <c s="1977"/>
      <c s="1977"/>
      <c s="1977"/>
      <c s="1270"/>
      <c s="1977"/>
      <c s="1977"/>
      <c s="1977"/>
      <c s="1977"/>
      <c s="1977"/>
      <c s="1977"/>
      <c s="1383"/>
      <c s="1978"/>
      <c s="1978"/>
      <c s="1638"/>
      <c s="1319"/>
      <c s="1320"/>
      <c s="1319"/>
      <c s="1325"/>
      <c s="1328" t="s">
        <v>448</v>
      </c>
      <c s="1327"/>
      <c s="1327"/>
      <c s="1327"/>
      <c s="1327"/>
      <c s="1327"/>
      <c s="1327"/>
      <c s="1327"/>
      <c s="1327"/>
      <c s="1327"/>
      <c s="1327"/>
      <c s="1327"/>
      <c s="1327"/>
      <c s="1327"/>
      <c s="1327"/>
      <c s="1327"/>
      <c s="1327"/>
      <c s="1327"/>
      <c s="1327"/>
      <c s="1327"/>
      <c r="AO57" s="1254"/>
      <c s="1254" t="str">
        <f>IF(T57="","",T57)</f>
        <v>Добавить наименование тарифа</v>
      </c>
      <c s="1254"/>
      <c s="1254"/>
      <c s="1645">
        <v>1</v>
      </c>
    </row>
    <row r="58" spans="13:45" ht="11.55" customHeight="1">
      <c r="M58" s="1634"/>
      <c s="1634"/>
      <c s="1638"/>
      <c s="1634"/>
      <c s="1634"/>
      <c s="1634"/>
      <c s="1634"/>
      <c r="AN58" s="1634"/>
      <c s="1634"/>
      <c s="1634"/>
      <c s="1634"/>
      <c s="1634"/>
      <c s="1634">
        <v>11</v>
      </c>
    </row>
    <row r="59" spans="15:45" ht="28.5" customHeight="1">
      <c r="O59" s="1638"/>
      <c r="S59" s="1256"/>
      <c s="2288"/>
      <c s="2288"/>
      <c s="2288"/>
      <c s="2288"/>
      <c s="2288"/>
      <c s="2288"/>
      <c s="2288"/>
      <c s="2288"/>
      <c s="2288"/>
      <c s="2288"/>
      <c s="2288"/>
      <c s="2288"/>
      <c s="2288"/>
      <c s="2288"/>
      <c s="2288"/>
      <c s="2288"/>
      <c s="2288"/>
      <c s="2288"/>
      <c s="2288"/>
      <c s="2288"/>
      <c r="AS59" s="1634">
        <v>27</v>
      </c>
    </row>
    <row r="60" spans="15:45" ht="65.25" customHeight="1">
      <c r="O60" s="1638"/>
      <c r="T60" s="2288"/>
      <c s="2288"/>
      <c s="2288"/>
      <c s="2288"/>
      <c s="2288"/>
      <c s="2288"/>
      <c s="2288"/>
      <c s="2288"/>
      <c s="2288"/>
      <c s="2288"/>
      <c s="2288"/>
      <c s="2288"/>
      <c s="2288"/>
      <c s="2288"/>
      <c s="2288"/>
      <c s="2288"/>
      <c s="2288"/>
      <c s="2288"/>
      <c s="2288"/>
      <c s="2288"/>
      <c r="AS60" s="1634">
        <v>62</v>
      </c>
    </row>
    <row r="61" spans="15:45" ht="14.7" customHeight="1">
      <c r="O61" s="1638"/>
      <c r="AS61" s="1634">
        <v>14</v>
      </c>
    </row>
    <row r="62" spans="15:45" ht="18.75" customHeight="1">
      <c r="O62" s="1638"/>
      <c r="S62" s="1256"/>
      <c s="2288"/>
      <c s="2288"/>
      <c s="2288"/>
      <c s="2288"/>
      <c s="2288"/>
      <c s="2288"/>
      <c s="2288"/>
      <c s="2288"/>
      <c s="2288"/>
      <c s="2288"/>
      <c s="2288"/>
      <c s="2288"/>
      <c s="2288"/>
      <c s="2288"/>
      <c s="2288"/>
      <c s="2288"/>
      <c s="2288"/>
      <c s="2288"/>
      <c s="2288"/>
      <c s="2288"/>
      <c r="AS62" s="1634">
        <v>18</v>
      </c>
    </row>
    <row r="63" spans="15:45" ht="18.75" customHeight="1">
      <c r="O63" s="1638"/>
      <c r="T63" s="2288"/>
      <c s="2288"/>
      <c s="2288"/>
      <c s="2288"/>
      <c s="2288"/>
      <c s="2288"/>
      <c s="2288"/>
      <c s="2288"/>
      <c s="2288"/>
      <c s="2288"/>
      <c s="2288"/>
      <c s="2288"/>
      <c s="2288"/>
      <c s="2288"/>
      <c s="2288"/>
      <c s="2288"/>
      <c s="2288"/>
      <c s="2288"/>
      <c s="2288"/>
      <c s="2288"/>
      <c r="AS63" s="1634">
        <v>18</v>
      </c>
    </row>
    <row r="64" spans="15:45" ht="29.25" customHeight="1">
      <c r="O64" s="1638"/>
      <c r="S64" s="1256"/>
      <c s="2288"/>
      <c s="2288"/>
      <c s="2288"/>
      <c s="2288"/>
      <c s="2288"/>
      <c s="2288"/>
      <c s="2288"/>
      <c s="2288"/>
      <c s="2288"/>
      <c s="2288"/>
      <c s="2288"/>
      <c s="2288"/>
      <c s="2288"/>
      <c s="2288"/>
      <c s="2288"/>
      <c s="2288"/>
      <c s="2288"/>
      <c s="2288"/>
      <c s="2288"/>
      <c s="2288"/>
      <c r="AS64" s="1634">
        <v>28</v>
      </c>
    </row>
    <row r="65" spans="1:45" ht="22.5" customHeight="1" hidden="1">
      <c r="A65" s="1634" t="s">
        <v>81</v>
      </c>
      <c s="1634">
        <v>0</v>
      </c>
      <c s="1634">
        <v>0</v>
      </c>
      <c s="1634">
        <v>0</v>
      </c>
      <c s="1634">
        <v>0</v>
      </c>
      <c s="1634">
        <v>0</v>
      </c>
      <c s="1634">
        <v>0</v>
      </c>
      <c s="1634">
        <v>0</v>
      </c>
      <c s="1634">
        <v>0</v>
      </c>
      <c s="1634">
        <v>0</v>
      </c>
      <c s="1634">
        <v>0</v>
      </c>
      <c s="1942">
        <v>0</v>
      </c>
      <c s="1968">
        <v>0</v>
      </c>
      <c s="1968">
        <v>0</v>
      </c>
      <c s="1968">
        <v>0</v>
      </c>
      <c s="1968">
        <v>3</v>
      </c>
      <c s="347">
        <v>3</v>
      </c>
      <c s="347">
        <v>3</v>
      </c>
      <c s="584">
        <v>12</v>
      </c>
      <c s="1634">
        <v>31</v>
      </c>
      <c s="1634">
        <v>0</v>
      </c>
      <c s="1634">
        <v>0</v>
      </c>
      <c s="1634">
        <v>0</v>
      </c>
      <c s="1634">
        <v>0</v>
      </c>
      <c s="1634">
        <v>0</v>
      </c>
      <c s="1634">
        <v>0</v>
      </c>
      <c s="1634">
        <v>0</v>
      </c>
      <c s="1634">
        <v>0</v>
      </c>
      <c s="1634">
        <v>0</v>
      </c>
      <c s="1634">
        <v>24</v>
      </c>
      <c s="1634">
        <v>0</v>
      </c>
      <c s="1634">
        <v>24</v>
      </c>
      <c s="1634">
        <v>24</v>
      </c>
      <c s="1634">
        <v>11</v>
      </c>
      <c s="1634">
        <v>3</v>
      </c>
      <c s="1634">
        <v>11</v>
      </c>
      <c s="1634">
        <v>0</v>
      </c>
      <c s="1634">
        <v>4</v>
      </c>
      <c s="1634">
        <v>115</v>
      </c>
      <c s="1639">
        <v>10</v>
      </c>
      <c s="1639">
        <v>10</v>
      </c>
      <c s="1639">
        <v>10</v>
      </c>
      <c s="1639">
        <v>10</v>
      </c>
      <c s="1639">
        <v>10</v>
      </c>
      <c s="1634">
        <v>23</v>
      </c>
    </row>
  </sheetData>
  <sheetProtection insertRows="0" deleteColumns="0" deleteRows="0" sort="0" autoFilter="0"/>
  <mergeCells count="112">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 ref="AM8:AM10"/>
    <mergeCell ref="AH17:AH18"/>
    <mergeCell ref="AI17:AI18"/>
    <mergeCell ref="AJ17:AJ18"/>
    <mergeCell ref="AK17:AK18"/>
    <mergeCell ref="K8:K9"/>
    <mergeCell ref="Z8:Z9"/>
    <mergeCell ref="AA8:AA9"/>
    <mergeCell ref="AB8:AB9"/>
    <mergeCell ref="AC8:AC9"/>
    <mergeCell ref="AH8:AH9"/>
    <mergeCell ref="S26:AJ26"/>
    <mergeCell ref="S27:AJ27"/>
    <mergeCell ref="S29:T29"/>
    <mergeCell ref="V29:AB29"/>
    <mergeCell ref="AD29:AJ29"/>
    <mergeCell ref="S30:T30"/>
    <mergeCell ref="V30:AB30"/>
    <mergeCell ref="AD30:AJ30"/>
    <mergeCell ref="AI8:AI9"/>
    <mergeCell ref="AJ8:AJ9"/>
    <mergeCell ref="S34:T34"/>
    <mergeCell ref="V34:AB34"/>
    <mergeCell ref="AD34:AJ34"/>
    <mergeCell ref="S35:T35"/>
    <mergeCell ref="V35:AB35"/>
    <mergeCell ref="AD35:AJ35"/>
    <mergeCell ref="S31:T31"/>
    <mergeCell ref="V31:AB31"/>
    <mergeCell ref="AD31:AJ31"/>
    <mergeCell ref="S32:T32"/>
    <mergeCell ref="V32:AB32"/>
    <mergeCell ref="AD32:AJ32"/>
    <mergeCell ref="V37:AC37"/>
    <mergeCell ref="AD37:AK37"/>
    <mergeCell ref="S38:AL38"/>
    <mergeCell ref="AM38:AM41"/>
    <mergeCell ref="S39:S41"/>
    <mergeCell ref="T39:T41"/>
    <mergeCell ref="V39:AB39"/>
    <mergeCell ref="AC39:AC41"/>
    <mergeCell ref="AD39:AJ39"/>
    <mergeCell ref="AK39:AK41"/>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T63:AM63"/>
    <mergeCell ref="T64:AM64"/>
    <mergeCell ref="AJ49:AJ50"/>
    <mergeCell ref="AK49:AK50"/>
    <mergeCell ref="AM49:AM51"/>
    <mergeCell ref="T59:AM59"/>
    <mergeCell ref="T60:AM60"/>
    <mergeCell ref="T62:AM62"/>
    <mergeCell ref="Q48:Q51"/>
    <mergeCell ref="V48:AC48"/>
    <mergeCell ref="AD48:AL48"/>
  </mergeCells>
  <dataValidations count="8">
    <dataValidation type="list" allowBlank="1" showInputMessage="1" prompt="Выберите значение из списка" errorTitle="Ошибка" error="Выберите значение из списка" sqref="V65584:AL65584 V983088:AL983088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65587:AM65593 S131123:AM131129 S196659:AM196665 S262195:AM262201 S327731:AM327737 S393267:AM393273 S458803:AM458809 S524339:AM524345 S589875:AM589881 S655411:AM655417 S720947:AM720953 S786483:AM786489 S852019:AM852025 S917555:AM917561 S983091:AM983097"/>
    <dataValidation type="list" allowBlank="1" showInputMessage="1" showErrorMessage="1" errorTitle="Ошибка" error="Выберите значение из списка" sqref="V65583:W65583 V983087:W983087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8 Z65585 Z131121 Z196657 Z262193 Z327729 Z393265 Z458801 Z524337 Z589873 Z655409 Z720945 Z786481 Z852017 Z917553 Z983089 AB65585 AB131121 AB196657 AB262193 AB327729 AB393265 AB458801 AB524337 AB589873 AB655409 AB720945 AB786481 AB852017 AB917553 AB983089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8 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I17 AK196657 AA49 AC49 AK262193"/>
    <dataValidation allowBlank="1" promptTitle="checkPeriodRange" sqref="Y9 Y65586 Y131122 Y196658 Y262194 Y327730 Y393266 Y458802 Y524338 Y589874 Y655410 Y720946 Y786482 Y852018 Y917554 Y983090 AG65586 AG131122 AG196658 AG262194 AG327730 AG393266 AG458802 AG524338 AG589874 AG655410 AG720946 AG786482 AG852018 AG917554 AG983090 AG9 AG50 AG18 Y50"/>
  </dataValidations>
  <pageMargins left="0.7" right="0.7" top="0.75" bottom="0.75" header="0.3" footer="0.3"/>
  <pageSetup orientation="portrait"/>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m="http://schemas.microsoft.com/office/excel/2006/main" xmlns:x14ac="http://schemas.microsoft.com/office/spreadsheetml/2009/9/ac" xmlns:xr="http://schemas.microsoft.com/office/spreadsheetml/2014/revision" xmlns:xr2="http://schemas.microsoft.com/office/spreadsheetml/2015/revision2" xmlns:xr3="http://schemas.microsoft.com/office/spreadsheetml/2016/revision3" xr:uid="{382ECA97-7F51-1CE2-0836-F9C50B21E066}" mc:Ignorable="x14ac xr xr2 xr3">
  <sheetPr>
    <tabColor theme="6" tint="0.400000005960464"/>
  </sheetPr>
  <dimension ref="A1:AS65"/>
  <sheetViews>
    <sheetView showGridLines="0" zoomScale="90" zoomScaleNormal="90" workbookViewId="0" topLeftCell="A1">
      <pane xSplit="29" ySplit="42" topLeftCell="AD43" activePane="bottomRight" state="frozen"/>
      <selection pane="topLeft" activeCell="A1" sqref="A1"/>
      <selection pane="bottomLeft" activeCell="A43" sqref="A43"/>
      <selection pane="topRight" activeCell="AD1" sqref="AD1"/>
      <selection pane="bottomRight" activeCell="A1" sqref="A1"/>
    </sheetView>
  </sheetViews>
  <sheetFormatPr defaultColWidth="10.5742857142857" defaultRowHeight="14.25" customHeight="1"/>
  <cols>
    <col min="1" max="1" width="10.5714285714286" style="1369" hidden="1"/>
    <col min="2" max="2" width="11" style="1369" hidden="1" customWidth="1"/>
    <col min="3" max="3" width="10.5714285714286" style="1369" hidden="1"/>
    <col min="4" max="4" width="11.8571428571429" style="1369" hidden="1" customWidth="1"/>
    <col min="5" max="5" width="10" style="1369" hidden="1" customWidth="1"/>
    <col min="6" max="6" width="8.71428571428571" style="1369" hidden="1" customWidth="1"/>
    <col min="7" max="7" width="7.57142857142857" style="1369" hidden="1" customWidth="1"/>
    <col min="8" max="8" width="11.4285714285714" style="1369" hidden="1" customWidth="1"/>
    <col min="9" max="9" width="12" style="1369" hidden="1" customWidth="1"/>
    <col min="10" max="10" width="9.85714285714286" style="1369" hidden="1" customWidth="1"/>
    <col min="11" max="11" width="11.4285714285714" style="1369" hidden="1" customWidth="1"/>
    <col min="12" max="12" width="19.1428571428571" style="2610" hidden="1" customWidth="1"/>
    <col min="13" max="14" width="12.2857142857143" style="1779" hidden="1" customWidth="1"/>
    <col min="15" max="15" width="23.4285714285714" style="1779" hidden="1" customWidth="1"/>
    <col min="16" max="16" width="3" style="2400" customWidth="1"/>
    <col min="17" max="18" width="3" style="347" customWidth="1"/>
    <col min="19" max="19" width="12" style="2410" customWidth="1"/>
    <col min="20" max="20" width="31" style="1638" customWidth="1"/>
    <col min="21" max="21" width="0.714285714285714" style="1638" hidden="1" customWidth="1"/>
    <col min="22" max="22" width="1.71428571428571" style="1638" hidden="1" customWidth="1"/>
    <col min="23" max="23" width="24.7142857142857" style="1638" hidden="1" customWidth="1"/>
    <col min="24" max="25" width="0.142857142857143" style="1638" hidden="1" customWidth="1"/>
    <col min="26" max="26" width="11.7142857142857" style="1638" hidden="1" customWidth="1"/>
    <col min="27" max="27" width="3.71428571428571" style="1638" hidden="1" customWidth="1"/>
    <col min="28" max="28" width="11.7142857142857" style="1638" hidden="1" customWidth="1"/>
    <col min="29" max="29" width="8.57142857142857" style="1638" hidden="1" customWidth="1"/>
    <col min="30" max="30" width="0.142857142857143" style="1638" customWidth="1"/>
    <col min="31" max="31" width="24" style="1638" customWidth="1"/>
    <col min="32" max="33" width="0.142857142857143" style="1638" customWidth="1"/>
    <col min="34" max="34" width="11" style="1638" customWidth="1"/>
    <col min="35" max="35" width="3.71428571428571" style="1638" customWidth="1"/>
    <col min="36" max="36" width="11" style="1638" customWidth="1"/>
    <col min="37" max="37" width="8.57142857142857" style="1638" hidden="1" customWidth="1"/>
    <col min="38" max="38" width="4" style="1638" customWidth="1"/>
    <col min="39" max="39" width="115" style="1638" customWidth="1"/>
    <col min="40" max="44" width="10" style="1645" customWidth="1"/>
    <col min="45" max="45" width="10.5714285714286" style="1638" hidden="1"/>
  </cols>
  <sheetData>
    <row r="1" spans="25:45" ht="22.5" customHeight="1" hidden="1">
      <c r="Y1" s="330"/>
      <c s="330"/>
      <c r="AG1" s="330"/>
      <c s="330"/>
      <c r="AS1" s="1158" t="s">
        <v>14</v>
      </c>
    </row>
    <row r="2" spans="1:45" ht="21" customHeight="1" hidden="1">
      <c r="A2" s="1366"/>
      <c s="1366"/>
      <c s="1366"/>
      <c s="1366"/>
      <c s="2261">
        <v>1</v>
      </c>
      <c s="1366"/>
      <c s="1366"/>
      <c s="1366"/>
      <c s="1366"/>
      <c s="1366"/>
      <c s="1366"/>
      <c s="1367"/>
      <c s="1368"/>
      <c s="1368"/>
      <c s="1368"/>
      <c s="364"/>
      <c s="363"/>
      <c s="358"/>
      <c s="1339">
        <f>INDEX(PT_DIFFERENTIATION_NUM_NTAR,MATCH(A2,PT_DIFFERENTIATION_NTAR_ID,0))</f>
      </c>
      <c s="301" t="s">
        <v>125</v>
      </c>
      <c s="303"/>
      <c s="2245"/>
      <c s="2246"/>
      <c s="2246"/>
      <c s="2246"/>
      <c s="2246"/>
      <c s="2246"/>
      <c s="2246"/>
      <c s="2247"/>
      <c s="2245">
        <f>INDEX(PT_DIFFERENTIATION_NTAR,MATCH(A2,PT_DIFFERENTIATION_NTAR_ID,0))</f>
      </c>
      <c s="2246"/>
      <c s="2246"/>
      <c s="2246"/>
      <c s="2246"/>
      <c s="2246"/>
      <c s="2246"/>
      <c s="2246"/>
      <c s="2247"/>
      <c s="1261" t="s">
        <v>396</v>
      </c>
      <c r="AO2" s="503"/>
      <c s="503" t="str">
        <f>IF(T2="","",T2)</f>
        <v>Наименование тарифа</v>
      </c>
      <c s="503"/>
      <c s="503"/>
      <c s="1158">
        <v>0</v>
      </c>
    </row>
    <row r="3" spans="1:45" ht="21" customHeight="1" hidden="1">
      <c r="A3" s="1366"/>
      <c s="1366"/>
      <c s="1366"/>
      <c s="1366"/>
      <c s="2262"/>
      <c s="2261">
        <v>1</v>
      </c>
      <c s="1366"/>
      <c s="1366"/>
      <c s="1366"/>
      <c s="1366"/>
      <c s="1366"/>
      <c s="1367"/>
      <c s="1368"/>
      <c s="1368"/>
      <c s="1368"/>
      <c s="1335"/>
      <c s="355"/>
      <c s="356"/>
      <c s="1339">
        <f>INDEX(PT_DIFFERENTIATION_NUM_TER,MATCH(B3,PT_DIFFERENTIATION_TER_ID,0))</f>
      </c>
      <c s="311" t="s">
        <v>397</v>
      </c>
      <c s="303"/>
      <c s="2245"/>
      <c s="2246"/>
      <c s="2246"/>
      <c s="2246"/>
      <c s="2246"/>
      <c s="2246"/>
      <c s="2246"/>
      <c s="2247"/>
      <c s="2245">
        <f>INDEX(PT_DIFFERENTIATION_TER,MATCH(B3,PT_DIFFERENTIATION_TER_ID,0))</f>
      </c>
      <c s="2246"/>
      <c s="2246"/>
      <c s="2246"/>
      <c s="2246"/>
      <c s="2246"/>
      <c s="2246"/>
      <c s="2246"/>
      <c s="2247"/>
      <c s="1261" t="s">
        <v>398</v>
      </c>
      <c r="AO3" s="503"/>
      <c s="503" t="str">
        <f>IF(T3="","",T3)</f>
        <v>Территория действия тарифа</v>
      </c>
      <c s="503"/>
      <c s="503"/>
      <c s="1158">
        <v>0</v>
      </c>
    </row>
    <row r="4" spans="1:45" ht="23.25" customHeight="1" hidden="1">
      <c r="A4" s="1366"/>
      <c s="1366"/>
      <c s="1366"/>
      <c s="1366"/>
      <c s="2262"/>
      <c s="2262"/>
      <c s="2261">
        <v>1</v>
      </c>
      <c s="1366"/>
      <c s="1366"/>
      <c s="1366"/>
      <c s="1366"/>
      <c s="1367"/>
      <c s="1368"/>
      <c s="1368"/>
      <c s="1368"/>
      <c s="357"/>
      <c s="355"/>
      <c s="356"/>
      <c s="1339">
        <f>INDEX(PT_DIFFERENTIATION_NUM_CS,MATCH(C4,PT_DIFFERENTIATION_CS_ID,0))</f>
      </c>
      <c s="312" t="s">
        <v>399</v>
      </c>
      <c s="303"/>
      <c s="2245"/>
      <c s="2246"/>
      <c s="2246"/>
      <c s="2246"/>
      <c s="2246"/>
      <c s="2246"/>
      <c s="2246"/>
      <c s="2247"/>
      <c s="2245">
        <f>INDEX(PT_DIFFERENTIATION_CS,MATCH(C4,PT_DIFFERENTIATION_CS_ID,0))</f>
      </c>
      <c s="2246"/>
      <c s="2246"/>
      <c s="2246"/>
      <c s="2246"/>
      <c s="2246"/>
      <c s="2246"/>
      <c s="2246"/>
      <c s="2247"/>
      <c s="1261" t="s">
        <v>400</v>
      </c>
      <c r="AO4" s="503"/>
      <c s="503" t="str">
        <f>IF(T4="","",T4)</f>
        <v>Наименование системы теплоснабжения</v>
      </c>
      <c s="503"/>
      <c s="503"/>
      <c s="1158">
        <v>0</v>
      </c>
    </row>
    <row r="5" spans="1:45" ht="21" customHeight="1" hidden="1">
      <c r="A5" s="1366"/>
      <c s="1366"/>
      <c s="1366"/>
      <c s="1366"/>
      <c s="2262"/>
      <c s="2262"/>
      <c s="2262"/>
      <c s="2261">
        <v>1</v>
      </c>
      <c s="1366"/>
      <c s="1366"/>
      <c s="1366"/>
      <c s="1367"/>
      <c s="1368"/>
      <c s="1368"/>
      <c s="1368"/>
      <c s="357"/>
      <c s="355"/>
      <c s="356"/>
      <c s="1339">
        <f>INDEX(PT_DIFFERENTIATION_NUM_IST_TE,MATCH(D5,PT_DIFFERENTIATION_IST_TE_ID,0))</f>
      </c>
      <c s="313" t="s">
        <v>401</v>
      </c>
      <c s="303"/>
      <c s="2245"/>
      <c s="2246"/>
      <c s="2246"/>
      <c s="2246"/>
      <c s="2246"/>
      <c s="2246"/>
      <c s="2246"/>
      <c s="2247"/>
      <c s="2245">
        <f>INDEX(PT_DIFFERENTIATION_IST_TE,MATCH(D5,PT_DIFFERENTIATION_IST_TE_ID,0))</f>
      </c>
      <c s="2246"/>
      <c s="2246"/>
      <c s="2246"/>
      <c s="2246"/>
      <c s="2246"/>
      <c s="2246"/>
      <c s="2246"/>
      <c s="2247"/>
      <c s="1261" t="s">
        <v>402</v>
      </c>
      <c r="AO5" s="503"/>
      <c s="503" t="str">
        <f>IF(T5="","",T5)</f>
        <v>Источник тепловой энергии</v>
      </c>
      <c s="503"/>
      <c s="503"/>
      <c s="1158">
        <v>0</v>
      </c>
    </row>
    <row r="6" spans="1:45" ht="47.25" customHeight="1" hidden="1">
      <c r="A6" s="1366"/>
      <c s="1366"/>
      <c s="1366"/>
      <c s="1366"/>
      <c s="2262"/>
      <c s="2262"/>
      <c s="2262"/>
      <c s="2262"/>
      <c s="2259">
        <f>S5&amp;".1"</f>
      </c>
      <c s="1366"/>
      <c s="1366"/>
      <c s="1367" t="s">
        <v>403</v>
      </c>
      <c s="540"/>
      <c r="P6" s="2260">
        <v>1</v>
      </c>
      <c s="1334"/>
      <c s="359"/>
      <c s="1339">
        <f>$I6</f>
      </c>
      <c s="288" t="s">
        <v>404</v>
      </c>
      <c s="303"/>
      <c s="2248"/>
      <c s="2249"/>
      <c s="2249"/>
      <c s="2249"/>
      <c s="2249"/>
      <c s="2249"/>
      <c s="2249"/>
      <c s="2250"/>
      <c s="2248"/>
      <c s="2249"/>
      <c s="2249"/>
      <c s="2249"/>
      <c s="2249"/>
      <c s="2249"/>
      <c s="2249"/>
      <c s="2249"/>
      <c s="2250"/>
      <c s="1261" t="s">
        <v>405</v>
      </c>
      <c r="AO6" s="503"/>
      <c s="503" t="str">
        <f>IF(T6="","",T6)</f>
        <v>Схема подключения теплопотребляющей установки к коллектору источника тепловой энергии</v>
      </c>
      <c s="503"/>
      <c s="503"/>
      <c s="1158">
        <v>0</v>
      </c>
    </row>
    <row r="7" spans="1:45" ht="21" customHeight="1" hidden="1">
      <c r="A7" s="1366"/>
      <c s="1366"/>
      <c s="1366"/>
      <c s="1366"/>
      <c s="2262"/>
      <c s="2262"/>
      <c s="2262"/>
      <c s="2262"/>
      <c s="2289"/>
      <c s="2259">
        <f>I6&amp;".1"</f>
      </c>
      <c s="1366"/>
      <c s="1367" t="s">
        <v>406</v>
      </c>
      <c s="540"/>
      <c s="1369"/>
      <c r="P7" s="2260"/>
      <c s="2260">
        <v>1</v>
      </c>
      <c s="360"/>
      <c s="1339">
        <f>$J7</f>
      </c>
      <c s="289" t="s">
        <v>407</v>
      </c>
      <c s="303"/>
      <c s="2248"/>
      <c s="2249"/>
      <c s="2249"/>
      <c s="2249"/>
      <c s="2249"/>
      <c s="2249"/>
      <c s="2249"/>
      <c s="2250"/>
      <c s="2248"/>
      <c s="2249"/>
      <c s="2249"/>
      <c s="2249"/>
      <c s="2249"/>
      <c s="2249"/>
      <c s="2249"/>
      <c s="2249"/>
      <c s="2250"/>
      <c s="1261" t="s">
        <v>408</v>
      </c>
      <c r="AO7" s="503"/>
      <c s="503" t="str">
        <f>IF(T7="","",T7)</f>
        <v>Группа потребителей</v>
      </c>
      <c s="503"/>
      <c s="503"/>
      <c s="1158">
        <v>0</v>
      </c>
    </row>
    <row r="8" spans="1:45" ht="21" customHeight="1" hidden="1">
      <c r="A8" s="1366"/>
      <c s="1366"/>
      <c s="1366"/>
      <c s="1366"/>
      <c s="2262"/>
      <c s="2262"/>
      <c s="2262"/>
      <c s="2262"/>
      <c s="2289"/>
      <c s="2289"/>
      <c s="2259">
        <f>J7&amp;".1"</f>
      </c>
      <c s="1367" t="s">
        <v>409</v>
      </c>
      <c s="540"/>
      <c s="1369"/>
      <c s="1369"/>
      <c s="2260"/>
      <c s="2260"/>
      <c s="360">
        <v>1</v>
      </c>
      <c s="1339">
        <f>$K8</f>
      </c>
      <c s="1350"/>
      <c s="303"/>
      <c s="328"/>
      <c s="754"/>
      <c s="328"/>
      <c s="387"/>
      <c s="2268"/>
      <c s="2110" t="s">
        <v>65</v>
      </c>
      <c s="2268"/>
      <c s="2110" t="s">
        <v>65</v>
      </c>
      <c s="328"/>
      <c s="754"/>
      <c s="328"/>
      <c s="387"/>
      <c s="2268"/>
      <c s="2110" t="s">
        <v>65</v>
      </c>
      <c s="2268"/>
      <c s="2110" t="s">
        <v>65</v>
      </c>
      <c s="328"/>
      <c s="2256" t="s">
        <v>410</v>
      </c>
      <c s="514">
        <f>STRCHECKDATE(V9:AL9)</f>
      </c>
      <c s="503"/>
      <c s="503" t="str">
        <f>IF(T8="","",T8)</f>
        <v/>
      </c>
      <c s="503"/>
      <c s="503"/>
      <c s="1158">
        <v>0</v>
      </c>
    </row>
    <row r="9" spans="1:45" ht="0.75" customHeight="1" hidden="1">
      <c r="A9" s="1366"/>
      <c s="1366"/>
      <c s="1366"/>
      <c s="1366"/>
      <c s="2262"/>
      <c s="2262"/>
      <c s="2262"/>
      <c s="2262"/>
      <c s="2289"/>
      <c s="2289"/>
      <c s="2259"/>
      <c s="1367"/>
      <c s="540"/>
      <c s="1369"/>
      <c s="1369"/>
      <c s="2260"/>
      <c s="2260"/>
      <c s="360"/>
      <c s="1345"/>
      <c s="303"/>
      <c s="303"/>
      <c s="328"/>
      <c s="328"/>
      <c s="328"/>
      <c s="331" t="str">
        <f>Z8&amp;"-"&amp;AB8</f>
        <v>-</v>
      </c>
      <c s="2269"/>
      <c s="2110"/>
      <c s="2269"/>
      <c s="2110"/>
      <c s="328"/>
      <c s="328"/>
      <c s="328"/>
      <c s="331" t="str">
        <f>AH8&amp;"-"&amp;AJ8</f>
        <v>-</v>
      </c>
      <c s="2269"/>
      <c s="2110"/>
      <c s="2269"/>
      <c s="2110"/>
      <c s="328"/>
      <c s="2257"/>
      <c r="AO9" s="503"/>
      <c s="503" t="str">
        <f>IF(T9="","",T9)</f>
        <v/>
      </c>
      <c s="503"/>
      <c s="503"/>
      <c s="1158">
        <v>0</v>
      </c>
    </row>
    <row r="10" spans="1:45" ht="15" customHeight="1" hidden="1">
      <c r="A10" s="1366"/>
      <c s="1366"/>
      <c s="1366"/>
      <c s="1366"/>
      <c s="2262"/>
      <c s="2262"/>
      <c s="2262"/>
      <c s="2262"/>
      <c s="2289"/>
      <c s="2259"/>
      <c s="1366"/>
      <c s="1367"/>
      <c s="540"/>
      <c s="1369"/>
      <c r="P10" s="2260"/>
      <c s="2260"/>
      <c s="359"/>
      <c s="1281"/>
      <c s="291" t="s">
        <v>411</v>
      </c>
      <c s="370"/>
      <c s="370"/>
      <c s="370"/>
      <c s="370"/>
      <c s="370"/>
      <c s="370"/>
      <c s="370"/>
      <c s="370"/>
      <c s="370"/>
      <c s="370"/>
      <c s="370"/>
      <c s="370"/>
      <c s="370"/>
      <c s="370"/>
      <c s="370"/>
      <c s="370"/>
      <c s="370"/>
      <c s="327"/>
      <c s="2258"/>
      <c r="AO10" s="503"/>
      <c s="503" t="str">
        <f>IF(T10="","",T10)</f>
        <v>Добавить вид теплоносителя (параметры теплоносителя)</v>
      </c>
      <c s="503"/>
      <c s="503"/>
      <c s="1158">
        <v>0</v>
      </c>
    </row>
    <row r="11" spans="1:45" ht="15" customHeight="1" hidden="1">
      <c r="A11" s="1366"/>
      <c s="1366"/>
      <c s="1366"/>
      <c s="1366"/>
      <c s="2262"/>
      <c s="2262"/>
      <c s="2262"/>
      <c s="2262"/>
      <c s="2259"/>
      <c s="1366"/>
      <c s="1366"/>
      <c s="1367"/>
      <c s="540"/>
      <c r="P11" s="2260"/>
      <c s="1334"/>
      <c s="359"/>
      <c s="1281"/>
      <c s="290" t="s">
        <v>412</v>
      </c>
      <c s="370"/>
      <c s="370"/>
      <c s="370"/>
      <c s="370"/>
      <c s="370"/>
      <c s="370"/>
      <c s="370"/>
      <c s="370"/>
      <c s="369"/>
      <c s="370"/>
      <c s="370"/>
      <c s="370"/>
      <c s="370"/>
      <c s="370"/>
      <c s="370"/>
      <c s="370"/>
      <c s="369"/>
      <c s="370"/>
      <c s="306"/>
      <c r="AO11" s="503"/>
      <c s="503" t="str">
        <f>IF(T11="","",T11)</f>
        <v>Добавить группу потребителей</v>
      </c>
      <c s="503"/>
      <c s="503"/>
      <c s="1158">
        <v>0</v>
      </c>
    </row>
    <row r="12" spans="1:45" ht="14.25" customHeight="1" hidden="1">
      <c r="A12" s="1366"/>
      <c s="1366"/>
      <c s="1366"/>
      <c s="1366"/>
      <c s="2262"/>
      <c s="2262"/>
      <c s="2262"/>
      <c s="2261"/>
      <c s="1366"/>
      <c s="1366"/>
      <c s="1366"/>
      <c s="1367"/>
      <c s="1368"/>
      <c s="1368"/>
      <c s="540"/>
      <c s="363"/>
      <c s="378"/>
      <c s="358"/>
      <c s="1281"/>
      <c s="368" t="s">
        <v>413</v>
      </c>
      <c s="370"/>
      <c s="370"/>
      <c s="370"/>
      <c s="370"/>
      <c s="370"/>
      <c s="370"/>
      <c s="370"/>
      <c s="370"/>
      <c s="369"/>
      <c s="370"/>
      <c s="370"/>
      <c s="370"/>
      <c s="370"/>
      <c s="370"/>
      <c s="370"/>
      <c s="370"/>
      <c s="369"/>
      <c s="370"/>
      <c s="306"/>
      <c r="AO12" s="503"/>
      <c s="503" t="str">
        <f>IF(T12="","",T12)</f>
        <v>Добавить схему подключения</v>
      </c>
      <c s="503"/>
      <c s="503"/>
      <c s="1158">
        <v>0</v>
      </c>
    </row>
    <row r="13" spans="1:45" s="1645" customFormat="1" ht="0.75" customHeight="1" hidden="1">
      <c r="A13" s="1317"/>
      <c s="1317"/>
      <c s="1317"/>
      <c s="1317"/>
      <c s="2262"/>
      <c s="2262"/>
      <c s="2261"/>
      <c s="1317"/>
      <c s="1317"/>
      <c s="1317"/>
      <c s="1317"/>
      <c s="1342"/>
      <c s="1318"/>
      <c s="1318"/>
      <c r="P13" s="1319"/>
      <c s="1320"/>
      <c s="1319"/>
      <c s="1321"/>
      <c s="1322" t="s">
        <v>414</v>
      </c>
      <c s="1323"/>
      <c s="1323"/>
      <c s="1323"/>
      <c s="1323"/>
      <c s="1323"/>
      <c s="1323"/>
      <c s="1323"/>
      <c s="1323"/>
      <c s="1323"/>
      <c s="1323"/>
      <c s="1323"/>
      <c s="1323"/>
      <c s="1323"/>
      <c s="1323"/>
      <c s="1323"/>
      <c s="1323"/>
      <c s="1323"/>
      <c s="1323"/>
      <c s="1323"/>
      <c r="AO13" s="792"/>
      <c s="792" t="str">
        <f>IF(T13="","",T13)</f>
        <v>Добавить источник для дифференциации</v>
      </c>
      <c s="792"/>
      <c s="792"/>
      <c s="521">
        <v>0</v>
      </c>
    </row>
    <row r="14" spans="1:45" s="1645" customFormat="1" ht="0.75" customHeight="1" hidden="1">
      <c r="A14" s="1317"/>
      <c s="1317"/>
      <c s="1317"/>
      <c s="1317"/>
      <c s="2262"/>
      <c s="2261"/>
      <c s="1317"/>
      <c s="1317"/>
      <c s="1317"/>
      <c s="1317"/>
      <c s="1317"/>
      <c s="1342"/>
      <c s="1324"/>
      <c s="1324"/>
      <c r="P14" s="1319"/>
      <c s="1320"/>
      <c s="1319"/>
      <c s="1325"/>
      <c s="1326" t="s">
        <v>415</v>
      </c>
      <c s="1327"/>
      <c s="1327"/>
      <c s="1327"/>
      <c s="1327"/>
      <c s="1327"/>
      <c s="1327"/>
      <c s="1327"/>
      <c s="1327"/>
      <c s="1327"/>
      <c s="1327"/>
      <c s="1327"/>
      <c s="1327"/>
      <c s="1327"/>
      <c s="1327"/>
      <c s="1327"/>
      <c s="1327"/>
      <c s="1327"/>
      <c s="1327"/>
      <c s="1327"/>
      <c r="AO14" s="792"/>
      <c s="792" t="str">
        <f>IF(T14="","",T14)</f>
        <v>Добавить централизованную систему для дифференциации</v>
      </c>
      <c s="792"/>
      <c s="792"/>
      <c s="521">
        <v>0</v>
      </c>
    </row>
    <row r="15" spans="1:45" s="1645" customFormat="1" ht="0.75" customHeight="1" hidden="1">
      <c r="A15" s="1317"/>
      <c s="1317"/>
      <c s="1317"/>
      <c s="1317"/>
      <c s="2261"/>
      <c s="1317"/>
      <c s="1317"/>
      <c s="1317"/>
      <c s="1317"/>
      <c s="1317"/>
      <c s="1317"/>
      <c s="1342"/>
      <c s="1324"/>
      <c s="1324"/>
      <c r="P15" s="1319"/>
      <c s="1320"/>
      <c s="1319"/>
      <c s="1325"/>
      <c s="1328" t="s">
        <v>416</v>
      </c>
      <c s="1327"/>
      <c s="1327"/>
      <c s="1327"/>
      <c s="1327"/>
      <c s="1327"/>
      <c s="1327"/>
      <c s="1327"/>
      <c s="1327"/>
      <c s="1327"/>
      <c s="1327"/>
      <c s="1327"/>
      <c s="1327"/>
      <c s="1327"/>
      <c s="1327"/>
      <c s="1327"/>
      <c s="1327"/>
      <c s="1327"/>
      <c s="1327"/>
      <c s="1327"/>
      <c r="AO15" s="792"/>
      <c s="792" t="str">
        <f>IF(T15="","",T15)</f>
        <v>Добавить территорию для дифференциации</v>
      </c>
      <c s="792"/>
      <c s="792"/>
      <c s="521">
        <v>0</v>
      </c>
    </row>
    <row r="16" spans="29:45" ht="14.25" customHeight="1" hidden="1">
      <c r="AC16" s="330"/>
      <c r="AK16" s="330"/>
      <c r="AS16" s="1158">
        <v>0</v>
      </c>
    </row>
    <row r="17" spans="30:45" ht="14.25" customHeight="1" hidden="1">
      <c r="AD17" s="1363"/>
      <c s="1363"/>
      <c s="1363"/>
      <c s="1364"/>
      <c s="2270"/>
      <c s="2271" t="s">
        <v>65</v>
      </c>
      <c s="2270"/>
      <c s="2271" t="s">
        <v>65</v>
      </c>
      <c r="AS17" s="1158">
        <v>0</v>
      </c>
    </row>
    <row r="18" spans="30:45" ht="14.25" customHeight="1" hidden="1">
      <c r="AD18" s="1363"/>
      <c s="1363"/>
      <c s="1363"/>
      <c s="331" t="str">
        <f>AH17&amp;"-"&amp;AJ17</f>
        <v>-</v>
      </c>
      <c s="2271"/>
      <c s="2271"/>
      <c s="2271"/>
      <c s="2271"/>
      <c r="AS18" s="1158">
        <v>0</v>
      </c>
    </row>
    <row r="19" spans="37:45" ht="14.25" customHeight="1" hidden="1">
      <c r="AK19" s="330"/>
      <c r="AS19" s="1158">
        <v>0</v>
      </c>
    </row>
    <row r="20" spans="12:45" s="1369" customFormat="1" ht="22.5" customHeight="1" hidden="1">
      <c r="L20" s="1332"/>
      <c s="1365"/>
      <c s="1365"/>
      <c s="1370" t="s">
        <v>417</v>
      </c>
      <c s="1365"/>
      <c s="1374"/>
      <c s="1374"/>
      <c s="732"/>
      <c r="Z20" s="1370"/>
      <c r="AB20" s="1370"/>
      <c s="1369"/>
      <c r="AH20" s="1370"/>
      <c r="AJ20" s="1370"/>
      <c s="1369"/>
      <c r="AN20" s="514"/>
      <c s="514"/>
      <c s="514"/>
      <c s="514"/>
      <c s="514"/>
      <c s="1163">
        <v>0</v>
      </c>
    </row>
    <row r="21" spans="12:45" s="1369" customFormat="1" ht="14.25" customHeight="1" hidden="1">
      <c r="L21" s="1332"/>
      <c s="1365"/>
      <c s="1365"/>
      <c s="1365"/>
      <c s="1365"/>
      <c s="1374"/>
      <c s="1374"/>
      <c s="732"/>
      <c r="AC21" s="1369"/>
      <c r="AK21" s="1369"/>
      <c r="AN21" s="514"/>
      <c s="514"/>
      <c s="514"/>
      <c s="514"/>
      <c s="514"/>
      <c s="1163">
        <v>0</v>
      </c>
    </row>
    <row r="22" spans="12:45" s="1369" customFormat="1" ht="33.75" customHeight="1" hidden="1">
      <c r="L22" s="1332"/>
      <c s="1365"/>
      <c s="1365"/>
      <c s="1367" t="s">
        <v>418</v>
      </c>
      <c s="1365"/>
      <c s="1374"/>
      <c s="1374"/>
      <c s="732"/>
      <c s="1163" t="s">
        <v>419</v>
      </c>
      <c r="AA22" s="189" t="s">
        <v>420</v>
      </c>
      <c r="AC22" s="189" t="s">
        <v>421</v>
      </c>
      <c s="1163" t="s">
        <v>419</v>
      </c>
      <c r="AI22" s="189" t="s">
        <v>422</v>
      </c>
      <c r="AK22" s="189" t="s">
        <v>421</v>
      </c>
      <c r="AN22" s="514"/>
      <c s="514"/>
      <c s="514"/>
      <c s="514"/>
      <c s="514"/>
      <c s="1163">
        <v>0</v>
      </c>
    </row>
    <row r="23" spans="15:45" ht="14.25" customHeight="1" hidden="1">
      <c r="O23" s="1367"/>
      <c r="AS23" s="1158">
        <v>0</v>
      </c>
    </row>
    <row r="24" spans="15:45" ht="14.25" customHeight="1" hidden="1">
      <c r="O24" s="1367"/>
      <c r="AS24" s="1158">
        <v>0</v>
      </c>
    </row>
    <row r="25" spans="17:45" ht="14.7" customHeight="1">
      <c r="Q25" s="379"/>
      <c s="379"/>
      <c s="1278"/>
      <c s="366"/>
      <c s="366"/>
      <c s="512"/>
      <c s="512"/>
      <c s="512"/>
      <c s="512"/>
      <c s="512"/>
      <c s="512"/>
      <c s="512"/>
      <c s="512"/>
      <c s="512"/>
      <c s="512"/>
      <c s="512"/>
      <c s="512"/>
      <c s="512"/>
      <c s="512"/>
      <c s="512"/>
      <c s="512"/>
      <c r="AS25" s="1158">
        <v>14</v>
      </c>
    </row>
    <row r="26" spans="17:45" ht="29.25" customHeight="1">
      <c r="Q26" s="379"/>
      <c s="379"/>
      <c s="2251"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s="2251"/>
      <c s="2251"/>
      <c s="2251"/>
      <c s="2251"/>
      <c s="2251"/>
      <c s="2251"/>
      <c s="2251"/>
      <c s="2251"/>
      <c s="2251"/>
      <c s="2251"/>
      <c s="2251"/>
      <c s="2251"/>
      <c s="2251"/>
      <c s="2251"/>
      <c s="2251"/>
      <c s="2251"/>
      <c s="2251"/>
      <c s="1246"/>
      <c r="AS26" s="1158">
        <v>28</v>
      </c>
    </row>
    <row r="27" spans="17:45" ht="14.7" customHeight="1">
      <c r="Q27" s="379"/>
      <c s="379"/>
      <c s="2252" t="str">
        <f>IF(org=0,"Не определено",org)</f>
        <v>ГУП КК "Кубаньводкомплекс"</v>
      </c>
      <c s="2252"/>
      <c s="2252"/>
      <c s="2252"/>
      <c s="2252"/>
      <c s="2252"/>
      <c s="2252"/>
      <c s="2252"/>
      <c s="2252"/>
      <c s="2252"/>
      <c s="2252"/>
      <c s="2252"/>
      <c s="2252"/>
      <c s="2252"/>
      <c s="2252"/>
      <c s="2252"/>
      <c s="2252"/>
      <c s="2252"/>
      <c s="1246"/>
      <c r="AS27" s="1158">
        <v>14</v>
      </c>
    </row>
    <row r="28" spans="17:45" ht="14.25" customHeight="1" hidden="1">
      <c r="Q28" s="379"/>
      <c s="379"/>
      <c s="1278"/>
      <c s="366"/>
      <c s="366"/>
      <c s="325"/>
      <c s="325"/>
      <c s="325"/>
      <c s="325"/>
      <c s="325"/>
      <c s="325"/>
      <c s="325"/>
      <c s="325"/>
      <c s="325"/>
      <c s="325"/>
      <c s="325"/>
      <c s="325"/>
      <c s="325"/>
      <c s="325"/>
      <c s="325"/>
      <c s="325"/>
      <c s="512"/>
      <c r="AS28" s="1158">
        <v>0</v>
      </c>
    </row>
    <row r="29" spans="1:45" s="1856" customFormat="1" ht="25.5" customHeight="1" hidden="1">
      <c r="A29" s="1371"/>
      <c s="1371"/>
      <c s="1371"/>
      <c s="1371"/>
      <c s="1371"/>
      <c s="1371"/>
      <c s="1371"/>
      <c s="1371"/>
      <c s="1371"/>
      <c s="1371"/>
      <c s="1371"/>
      <c s="1372"/>
      <c s="1371"/>
      <c s="1371"/>
      <c s="1371"/>
      <c r="S29" s="2253" t="s">
        <v>42</v>
      </c>
      <c s="2253"/>
      <c s="1375"/>
      <c s="2254" t="str">
        <f>IF(TITLE_NAME_OR_PR_CHANGE="",IF(TITLE_NAME_OR_PR="","",TITLE_NAME_OR_PR),TITLE_NAME_OR_PR_CHANGE)</f>
        <v/>
      </c>
      <c s="2254"/>
      <c s="2254"/>
      <c s="2254"/>
      <c s="2254"/>
      <c s="2254"/>
      <c s="2254"/>
      <c s="329"/>
      <c s="2254" t="str">
        <f>IF(TITLE_NAME_OR_PR_CHANGE="",IF(TITLE_NAME_OR_PR="","",TITLE_NAME_OR_PR),TITLE_NAME_OR_PR_CHANGE)</f>
        <v/>
      </c>
      <c s="2254"/>
      <c s="2254"/>
      <c s="2254"/>
      <c s="2254"/>
      <c s="2254"/>
      <c s="2254"/>
      <c s="329"/>
      <c s="329"/>
      <c s="283"/>
      <c s="371"/>
      <c s="371"/>
      <c s="371"/>
      <c s="371"/>
      <c s="371"/>
      <c s="421">
        <v>0</v>
      </c>
    </row>
    <row r="30" spans="1:45" s="1856" customFormat="1" ht="18.75" customHeight="1" hidden="1">
      <c r="A30" s="1371"/>
      <c s="1371"/>
      <c s="1371"/>
      <c s="1371"/>
      <c s="1371"/>
      <c s="1371"/>
      <c s="1371"/>
      <c s="1371"/>
      <c s="1371"/>
      <c s="1371"/>
      <c s="1371"/>
      <c s="1372"/>
      <c s="1371"/>
      <c s="1371"/>
      <c s="1371"/>
      <c r="S30" s="2253" t="s">
        <v>423</v>
      </c>
      <c s="2253"/>
      <c s="1375"/>
      <c s="2267" t="str">
        <f>IF(TITLE_DATE_PR_CHANGE="",IF(TITLE_DATE_PR="","",TITLE_DATE_PR),TITLE_DATE_PR_CHANGE)</f>
        <v/>
      </c>
      <c s="2267"/>
      <c s="2267"/>
      <c s="2267"/>
      <c s="2267"/>
      <c s="2267"/>
      <c s="2267"/>
      <c s="329"/>
      <c s="2267" t="str">
        <f>IF(TITLE_DATE_PR_CHANGE="",IF(TITLE_DATE_PR="","",TITLE_DATE_PR),TITLE_DATE_PR_CHANGE)</f>
        <v/>
      </c>
      <c s="2267"/>
      <c s="2267"/>
      <c s="2267"/>
      <c s="2267"/>
      <c s="2267"/>
      <c s="2267"/>
      <c s="329"/>
      <c s="329"/>
      <c s="283"/>
      <c s="371"/>
      <c s="371"/>
      <c s="371"/>
      <c s="371"/>
      <c s="371"/>
      <c s="421">
        <v>0</v>
      </c>
    </row>
    <row r="31" spans="1:45" s="1856" customFormat="1" ht="18.75" customHeight="1" hidden="1">
      <c r="A31" s="1371"/>
      <c s="1371"/>
      <c s="1371"/>
      <c s="1371"/>
      <c s="1371"/>
      <c s="1371"/>
      <c s="1371"/>
      <c s="1371"/>
      <c s="1371"/>
      <c s="1371"/>
      <c s="1371"/>
      <c s="1372"/>
      <c s="1371"/>
      <c s="1371"/>
      <c s="1371"/>
      <c r="S31" s="2253" t="s">
        <v>424</v>
      </c>
      <c s="2253"/>
      <c s="1375"/>
      <c s="2254" t="str">
        <f>IF(TITLE_NUMBER_PR_CHANGE="",IF(TITLE_NUMBER_PR="","",TITLE_NUMBER_PR),TITLE_NUMBER_PR_CHANGE)</f>
        <v/>
      </c>
      <c s="2254"/>
      <c s="2254"/>
      <c s="2254"/>
      <c s="2254"/>
      <c s="2254"/>
      <c s="2254"/>
      <c s="329"/>
      <c s="2254" t="str">
        <f>IF(TITLE_NUMBER_PR_CHANGE="",IF(TITLE_NUMBER_PR="","",TITLE_NUMBER_PR),TITLE_NUMBER_PR_CHANGE)</f>
        <v/>
      </c>
      <c s="2254"/>
      <c s="2254"/>
      <c s="2254"/>
      <c s="2254"/>
      <c s="2254"/>
      <c s="2254"/>
      <c s="329"/>
      <c s="329"/>
      <c s="283"/>
      <c s="371"/>
      <c s="371"/>
      <c s="371"/>
      <c s="371"/>
      <c s="371"/>
      <c s="421">
        <v>0</v>
      </c>
    </row>
    <row r="32" spans="1:45" s="1856" customFormat="1" ht="18.75" customHeight="1" hidden="1">
      <c r="A32" s="1371"/>
      <c s="1371"/>
      <c s="1371"/>
      <c s="1371"/>
      <c s="1371"/>
      <c s="1371"/>
      <c s="1371"/>
      <c s="1371"/>
      <c s="1371"/>
      <c s="1371"/>
      <c s="1371"/>
      <c s="1372"/>
      <c s="1371"/>
      <c s="1371"/>
      <c s="1371"/>
      <c r="S32" s="2253" t="s">
        <v>43</v>
      </c>
      <c s="2253"/>
      <c s="1375"/>
      <c s="2254" t="str">
        <f>IF(TITLE_IST_PUB_CHANGE="",IF(TITLE_IST_PUB="","",TITLE_IST_PUB),TITLE_IST_PUB_CHANGE)</f>
        <v/>
      </c>
      <c s="2254"/>
      <c s="2254"/>
      <c s="2254"/>
      <c s="2254"/>
      <c s="2254"/>
      <c s="2254"/>
      <c s="329"/>
      <c s="2254" t="str">
        <f>IF(TITLE_IST_PUB_CHANGE="",IF(TITLE_IST_PUB="","",TITLE_IST_PUB),TITLE_IST_PUB_CHANGE)</f>
        <v/>
      </c>
      <c s="2254"/>
      <c s="2254"/>
      <c s="2254"/>
      <c s="2254"/>
      <c s="2254"/>
      <c s="2254"/>
      <c s="329"/>
      <c s="329"/>
      <c s="283"/>
      <c s="371"/>
      <c s="371"/>
      <c s="371"/>
      <c s="371"/>
      <c s="371"/>
      <c s="421">
        <v>0</v>
      </c>
    </row>
    <row r="33" spans="17:45" ht="14.25" customHeight="1" hidden="1">
      <c r="Q33" s="379"/>
      <c s="379"/>
      <c s="1278"/>
      <c s="366"/>
      <c s="366"/>
      <c s="325"/>
      <c s="325"/>
      <c s="325"/>
      <c s="325"/>
      <c s="325"/>
      <c s="325"/>
      <c s="325"/>
      <c s="325"/>
      <c s="325"/>
      <c s="325"/>
      <c s="325"/>
      <c s="325"/>
      <c s="325"/>
      <c s="325"/>
      <c s="325"/>
      <c s="325"/>
      <c s="512"/>
      <c r="AS33" s="1158">
        <v>0</v>
      </c>
    </row>
    <row r="34" spans="1:45" s="1856" customFormat="1" ht="18.75" customHeight="1" hidden="1">
      <c r="A34" s="1371"/>
      <c s="1371"/>
      <c s="1371"/>
      <c s="1371"/>
      <c s="1371"/>
      <c s="1371"/>
      <c s="1371"/>
      <c s="1371"/>
      <c s="1371"/>
      <c s="1371"/>
      <c s="1371"/>
      <c s="1372"/>
      <c s="1371"/>
      <c s="1371"/>
      <c s="1371"/>
      <c r="S34" s="2253" t="s">
        <v>425</v>
      </c>
      <c s="2253"/>
      <c s="1375"/>
      <c s="2267" t="str">
        <f>IF(TITLE_DATE_PR_CHANGE="",IF(TITLE_DATE_PR="","",TITLE_DATE_PR),TITLE_DATE_PR_CHANGE)</f>
        <v/>
      </c>
      <c s="2267"/>
      <c s="2267"/>
      <c s="2267"/>
      <c s="2267"/>
      <c s="2267"/>
      <c s="2267"/>
      <c s="329"/>
      <c s="2267" t="str">
        <f>IF(TITLE_DATE_PR_CHANGE="",IF(TITLE_DATE_PR="","",TITLE_DATE_PR),TITLE_DATE_PR_CHANGE)</f>
        <v/>
      </c>
      <c s="2267"/>
      <c s="2267"/>
      <c s="2267"/>
      <c s="2267"/>
      <c s="2267"/>
      <c s="2267"/>
      <c s="329"/>
      <c s="329"/>
      <c s="283"/>
      <c s="371"/>
      <c s="371"/>
      <c s="371"/>
      <c s="371"/>
      <c s="371"/>
      <c s="421">
        <v>0</v>
      </c>
    </row>
    <row r="35" spans="1:45" s="1856" customFormat="1" ht="18.75" customHeight="1" hidden="1">
      <c r="A35" s="1371"/>
      <c s="1371"/>
      <c s="1371"/>
      <c s="1371"/>
      <c s="1371"/>
      <c s="1371"/>
      <c s="1371"/>
      <c s="1371"/>
      <c s="1371"/>
      <c s="1371"/>
      <c s="1371"/>
      <c s="1372"/>
      <c s="1371"/>
      <c s="1371"/>
      <c s="1371"/>
      <c r="S35" s="2253" t="s">
        <v>426</v>
      </c>
      <c s="2253"/>
      <c s="1375"/>
      <c s="2254" t="str">
        <f>IF(TITLE_NUMBER_PR_CHANGE="",IF(TITLE_NUMBER_PR="","",TITLE_NUMBER_PR),TITLE_NUMBER_PR_CHANGE)</f>
        <v/>
      </c>
      <c s="2254"/>
      <c s="2254"/>
      <c s="2254"/>
      <c s="2254"/>
      <c s="2254"/>
      <c s="2254"/>
      <c s="329"/>
      <c s="2254" t="str">
        <f>IF(TITLE_NUMBER_PR_CHANGE="",IF(TITLE_NUMBER_PR="","",TITLE_NUMBER_PR),TITLE_NUMBER_PR_CHANGE)</f>
        <v/>
      </c>
      <c s="2254"/>
      <c s="2254"/>
      <c s="2254"/>
      <c s="2254"/>
      <c s="2254"/>
      <c s="2254"/>
      <c s="329"/>
      <c s="329"/>
      <c s="283"/>
      <c s="371"/>
      <c s="371"/>
      <c s="371"/>
      <c s="371"/>
      <c s="371"/>
      <c s="421">
        <v>0</v>
      </c>
    </row>
    <row r="36" spans="1:45" s="1856" customFormat="1" ht="0" customHeight="1">
      <c r="A36" s="1371"/>
      <c s="1371"/>
      <c s="1371"/>
      <c s="1371"/>
      <c s="1371"/>
      <c s="1371"/>
      <c s="1371"/>
      <c s="1371"/>
      <c s="1371"/>
      <c s="1371"/>
      <c s="1371"/>
      <c s="1372"/>
      <c s="1371"/>
      <c s="1371"/>
      <c s="1371"/>
      <c r="S36" s="326"/>
      <c s="326"/>
      <c s="1343"/>
      <c s="329"/>
      <c s="329"/>
      <c s="329"/>
      <c s="329"/>
      <c s="329"/>
      <c s="329"/>
      <c s="329"/>
      <c s="281" t="s">
        <v>427</v>
      </c>
      <c s="329"/>
      <c s="329"/>
      <c s="329"/>
      <c s="329"/>
      <c s="329"/>
      <c s="329"/>
      <c s="329"/>
      <c s="281" t="s">
        <v>427</v>
      </c>
      <c r="AN36" s="371"/>
      <c s="371"/>
      <c s="371"/>
      <c s="371"/>
      <c s="371"/>
      <c s="421">
        <v>0</v>
      </c>
    </row>
    <row r="37" spans="17:45" ht="14.7" customHeight="1">
      <c r="Q37" s="379"/>
      <c s="379"/>
      <c s="1278"/>
      <c s="366"/>
      <c s="1247"/>
      <c s="2255"/>
      <c s="2255"/>
      <c s="2255"/>
      <c s="2255"/>
      <c s="2255"/>
      <c s="2255"/>
      <c s="2255"/>
      <c s="2255"/>
      <c s="2255"/>
      <c s="2255"/>
      <c s="2255"/>
      <c s="2255"/>
      <c s="2255"/>
      <c s="2255"/>
      <c s="2255"/>
      <c s="2255"/>
      <c r="AS37" s="1158">
        <v>14</v>
      </c>
    </row>
    <row r="38" spans="17:45" ht="14.7" customHeight="1">
      <c r="Q38" s="379"/>
      <c s="379"/>
      <c s="2130" t="s">
        <v>300</v>
      </c>
      <c s="2130"/>
      <c s="2130"/>
      <c s="2130"/>
      <c s="2130"/>
      <c s="2130"/>
      <c s="2130"/>
      <c s="2130"/>
      <c s="2130"/>
      <c s="2130"/>
      <c s="2130"/>
      <c s="2130"/>
      <c s="2130"/>
      <c s="2130"/>
      <c s="2130"/>
      <c s="2130"/>
      <c s="2130"/>
      <c s="2130"/>
      <c s="2130"/>
      <c s="2130"/>
      <c s="2130" t="s">
        <v>301</v>
      </c>
      <c r="AS38" s="1158">
        <v>14</v>
      </c>
    </row>
    <row r="39" spans="17:45" ht="14.7" customHeight="1">
      <c r="Q39" s="379"/>
      <c s="379"/>
      <c s="2276" t="s">
        <v>87</v>
      </c>
      <c s="2212" t="s">
        <v>428</v>
      </c>
      <c s="304"/>
      <c s="2277" t="s">
        <v>429</v>
      </c>
      <c s="2278"/>
      <c s="2294"/>
      <c s="2294"/>
      <c s="2278"/>
      <c s="2278"/>
      <c s="2279"/>
      <c s="2280" t="s">
        <v>430</v>
      </c>
      <c s="2277" t="s">
        <v>429</v>
      </c>
      <c s="2278"/>
      <c s="2294"/>
      <c s="2294"/>
      <c s="2278"/>
      <c s="2278"/>
      <c s="2279"/>
      <c s="2280" t="s">
        <v>431</v>
      </c>
      <c s="2283" t="s">
        <v>432</v>
      </c>
      <c s="2130"/>
      <c r="AS39" s="1158">
        <v>14</v>
      </c>
    </row>
    <row r="40" spans="17:45" ht="24" customHeight="1">
      <c r="Q40" s="379"/>
      <c s="379"/>
      <c s="2276"/>
      <c s="2212"/>
      <c s="1034"/>
      <c s="2295" t="s">
        <v>433</v>
      </c>
      <c s="2297" t="s">
        <v>434</v>
      </c>
      <c s="1379" t="s">
        <v>435</v>
      </c>
      <c s="1379"/>
      <c s="2272" t="s">
        <v>436</v>
      </c>
      <c s="2272"/>
      <c s="2266"/>
      <c s="2281"/>
      <c s="2295" t="s">
        <v>433</v>
      </c>
      <c s="2297" t="s">
        <v>434</v>
      </c>
      <c s="1379" t="s">
        <v>435</v>
      </c>
      <c s="1379"/>
      <c s="2272" t="s">
        <v>436</v>
      </c>
      <c s="2272"/>
      <c s="2266"/>
      <c s="2281"/>
      <c s="2284"/>
      <c s="2130"/>
      <c r="AS40" s="1158">
        <v>23</v>
      </c>
    </row>
    <row r="41" spans="1:45" s="1269" customFormat="1" ht="24" customHeight="1">
      <c r="A41" s="1373"/>
      <c s="1373" t="s">
        <v>137</v>
      </c>
      <c s="1373" t="s">
        <v>138</v>
      </c>
      <c s="1373" t="s">
        <v>139</v>
      </c>
      <c s="1367" t="s">
        <v>437</v>
      </c>
      <c s="1367" t="s">
        <v>438</v>
      </c>
      <c s="1367" t="s">
        <v>439</v>
      </c>
      <c s="1367" t="s">
        <v>440</v>
      </c>
      <c s="1367" t="s">
        <v>441</v>
      </c>
      <c s="1367" t="s">
        <v>442</v>
      </c>
      <c s="1367" t="s">
        <v>443</v>
      </c>
      <c s="1367" t="s">
        <v>418</v>
      </c>
      <c s="1365"/>
      <c s="1365"/>
      <c s="1365"/>
      <c s="1331"/>
      <c s="379"/>
      <c s="379"/>
      <c s="2276"/>
      <c s="2212"/>
      <c s="305"/>
      <c s="2296"/>
      <c s="2298"/>
      <c s="1376" t="s">
        <v>444</v>
      </c>
      <c s="1376" t="s">
        <v>445</v>
      </c>
      <c s="1337" t="s">
        <v>446</v>
      </c>
      <c s="2273" t="s">
        <v>447</v>
      </c>
      <c s="2274"/>
      <c s="2282"/>
      <c s="2296"/>
      <c s="2298"/>
      <c s="1376" t="s">
        <v>444</v>
      </c>
      <c s="1376" t="s">
        <v>445</v>
      </c>
      <c s="1337" t="s">
        <v>446</v>
      </c>
      <c s="2273" t="s">
        <v>447</v>
      </c>
      <c s="2274"/>
      <c s="2282"/>
      <c s="2285"/>
      <c s="2130"/>
      <c s="514"/>
      <c s="503"/>
      <c s="503"/>
      <c s="503"/>
      <c s="503"/>
      <c s="585">
        <v>23</v>
      </c>
    </row>
    <row r="42" spans="1:45" s="1644" customFormat="1" ht="11.25" customHeight="1" hidden="1">
      <c r="A42" s="1373"/>
      <c s="1373"/>
      <c s="1373"/>
      <c s="1373"/>
      <c s="1373"/>
      <c s="1373"/>
      <c s="1373"/>
      <c s="1373"/>
      <c s="1373"/>
      <c s="1373"/>
      <c s="1373"/>
      <c s="1367"/>
      <c s="1365"/>
      <c s="1365"/>
      <c s="1365"/>
      <c s="1249"/>
      <c s="1250"/>
      <c s="1257">
        <v>1</v>
      </c>
      <c s="1280" t="s">
        <v>109</v>
      </c>
      <c s="1258" t="s">
        <v>110</v>
      </c>
      <c s="1248" t="str">
        <f ca="1">OFFSET(U42,0,-1)</f>
        <v>2</v>
      </c>
      <c s="1338">
        <f ca="1">OFFSET(V42,0,-1)+1</f>
        <v>3</v>
      </c>
      <c s="1338"/>
      <c s="1344">
        <f ca="1">OFFSET(X42,0,-1)+1</f>
        <v>1</v>
      </c>
      <c s="1344">
        <f ca="1">OFFSET(Y42,0,-1)+1</f>
        <v>2</v>
      </c>
      <c s="1338">
        <f ca="1">OFFSET(Z42,0,-1)+1</f>
        <v>3</v>
      </c>
      <c s="2275">
        <f ca="1">OFFSET(AA42,0,-1)+1</f>
        <v>4</v>
      </c>
      <c s="2275"/>
      <c s="1338">
        <f ca="1">OFFSET(AC42,0,-2)+1</f>
        <v>5</v>
      </c>
      <c s="1338">
        <f ca="1">OFFSET(AD42,0,-1)+1</f>
        <v>6</v>
      </c>
      <c s="1338"/>
      <c s="1344">
        <f ca="1">OFFSET(AF42,0,-1)+1</f>
        <v>1</v>
      </c>
      <c s="1344">
        <f ca="1">OFFSET(AG42,0,-1)+1</f>
        <v>2</v>
      </c>
      <c s="1338">
        <f ca="1">OFFSET(AH42,0,-1)+1</f>
        <v>3</v>
      </c>
      <c s="2275">
        <f ca="1">OFFSET(AI42,0,-1)+1</f>
        <v>4</v>
      </c>
      <c s="2275"/>
      <c s="1338">
        <f ca="1">OFFSET(AK42,0,-2)+1</f>
        <v>5</v>
      </c>
      <c s="1248">
        <f ca="1">OFFSET(AL42,0,-1)</f>
        <v>5</v>
      </c>
      <c s="1338">
        <f ca="1">OFFSET(AM42,0,-1)+1</f>
        <v>6</v>
      </c>
      <c s="514"/>
      <c s="514"/>
      <c s="514"/>
      <c s="514"/>
      <c s="514"/>
      <c s="499">
        <v>0</v>
      </c>
    </row>
    <row r="43" spans="1:45" ht="22.05" customHeight="1">
      <c r="A43" s="1366" t="s">
        <v>194</v>
      </c>
      <c s="1366"/>
      <c s="1366"/>
      <c s="1366"/>
      <c s="2261">
        <v>1</v>
      </c>
      <c s="1366"/>
      <c s="1366"/>
      <c s="1366"/>
      <c s="1366"/>
      <c s="1366"/>
      <c s="1366"/>
      <c s="1367"/>
      <c s="1368"/>
      <c s="1368"/>
      <c s="1368"/>
      <c s="364"/>
      <c s="363"/>
      <c s="358"/>
      <c s="1339">
        <f>INDEX(PT_DIFFERENTIATION_NUM_NTAR,MATCH(A43,PT_DIFFERENTIATION_NTAR_ID,0))</f>
        <v>0</v>
      </c>
      <c s="301" t="s">
        <v>125</v>
      </c>
      <c s="303"/>
      <c s="2245"/>
      <c s="2246"/>
      <c s="2246"/>
      <c s="2246"/>
      <c s="2246"/>
      <c s="2246"/>
      <c s="2246"/>
      <c s="2247"/>
      <c s="2245" t="str">
        <f>INDEX(PT_DIFFERENTIATION_NTAR,MATCH(A43,PT_DIFFERENTIATION_NTAR_ID,0))</f>
        <v/>
      </c>
      <c s="2246"/>
      <c s="2246"/>
      <c s="2246"/>
      <c s="2246"/>
      <c s="2246"/>
      <c s="2246"/>
      <c s="2246"/>
      <c s="2247"/>
      <c s="1261"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3"/>
      <c s="503" t="str">
        <f>IF(T43="","",T43)</f>
        <v>Наименование тарифа</v>
      </c>
      <c s="503"/>
      <c s="503"/>
      <c s="1158">
        <v>21</v>
      </c>
    </row>
    <row r="44" spans="1:45" ht="22.05" customHeight="1">
      <c r="A44" s="1366" t="s">
        <v>194</v>
      </c>
      <c s="1366" t="s">
        <v>195</v>
      </c>
      <c s="1366"/>
      <c s="1366"/>
      <c s="2262"/>
      <c s="2261">
        <v>1</v>
      </c>
      <c s="1366"/>
      <c s="1366"/>
      <c s="1366"/>
      <c s="1366"/>
      <c s="1366"/>
      <c s="1367"/>
      <c s="1368"/>
      <c s="1368"/>
      <c s="1368"/>
      <c s="1335"/>
      <c s="355"/>
      <c s="356"/>
      <c s="1339" t="str">
        <f>INDEX(PT_DIFFERENTIATION_NUM_TER,MATCH(B44,PT_DIFFERENTIATION_TER_ID,0))</f>
        <v>.</v>
      </c>
      <c s="311" t="s">
        <v>397</v>
      </c>
      <c s="303"/>
      <c s="2245"/>
      <c s="2246"/>
      <c s="2246"/>
      <c s="2246"/>
      <c s="2246"/>
      <c s="2246"/>
      <c s="2246"/>
      <c s="2247"/>
      <c s="2245" t="str">
        <f>INDEX(PT_DIFFERENTIATION_TER,MATCH(B44,PT_DIFFERENTIATION_TER_ID,0))</f>
        <v/>
      </c>
      <c s="2246"/>
      <c s="2246"/>
      <c s="2246"/>
      <c s="2246"/>
      <c s="2246"/>
      <c s="2246"/>
      <c s="2246"/>
      <c s="2247"/>
      <c s="1261" t="s">
        <v>398</v>
      </c>
      <c r="AO44" s="503"/>
      <c s="503" t="str">
        <f>IF(T44="","",T44)</f>
        <v>Территория действия тарифа</v>
      </c>
      <c s="503"/>
      <c s="503"/>
      <c s="1158">
        <v>21</v>
      </c>
    </row>
    <row r="45" spans="1:45" ht="24" customHeight="1">
      <c r="A45" s="1366" t="s">
        <v>194</v>
      </c>
      <c s="1366" t="s">
        <v>195</v>
      </c>
      <c s="1366" t="s">
        <v>196</v>
      </c>
      <c s="1366"/>
      <c s="2262"/>
      <c s="2262"/>
      <c s="2261">
        <v>1</v>
      </c>
      <c s="1366"/>
      <c s="1366"/>
      <c s="1366"/>
      <c s="1366"/>
      <c s="1367"/>
      <c s="1368"/>
      <c s="1368"/>
      <c s="1368"/>
      <c s="357"/>
      <c s="355"/>
      <c s="356"/>
      <c s="1339" t="str">
        <f>INDEX(PT_DIFFERENTIATION_NUM_CS,MATCH(C45,PT_DIFFERENTIATION_CS_ID,0))</f>
        <v>..</v>
      </c>
      <c s="312" t="s">
        <v>399</v>
      </c>
      <c s="303"/>
      <c s="2245"/>
      <c s="2246"/>
      <c s="2246"/>
      <c s="2246"/>
      <c s="2246"/>
      <c s="2246"/>
      <c s="2246"/>
      <c s="2247"/>
      <c s="2245" t="str">
        <f>INDEX(PT_DIFFERENTIATION_CS,MATCH(C45,PT_DIFFERENTIATION_CS_ID,0))</f>
        <v/>
      </c>
      <c s="2246"/>
      <c s="2246"/>
      <c s="2246"/>
      <c s="2246"/>
      <c s="2246"/>
      <c s="2246"/>
      <c s="2246"/>
      <c s="2247"/>
      <c s="1261" t="s">
        <v>400</v>
      </c>
      <c r="AO45" s="503"/>
      <c s="503" t="str">
        <f>IF(T45="","",T45)</f>
        <v>Наименование системы теплоснабжения</v>
      </c>
      <c s="503"/>
      <c s="503"/>
      <c s="1158">
        <v>23</v>
      </c>
    </row>
    <row r="46" spans="1:45" ht="22.05" customHeight="1">
      <c r="A46" s="1366" t="s">
        <v>194</v>
      </c>
      <c s="1366" t="s">
        <v>195</v>
      </c>
      <c s="1366" t="s">
        <v>196</v>
      </c>
      <c s="1366" t="s">
        <v>197</v>
      </c>
      <c s="2262"/>
      <c s="2262"/>
      <c s="2262"/>
      <c s="2261">
        <v>1</v>
      </c>
      <c s="1366"/>
      <c s="1366"/>
      <c s="1366"/>
      <c s="1367"/>
      <c s="1368"/>
      <c s="1368"/>
      <c s="1368"/>
      <c s="357"/>
      <c s="355"/>
      <c s="356"/>
      <c s="1339" t="str">
        <f>INDEX(PT_DIFFERENTIATION_NUM_IST_TE,MATCH(D46,PT_DIFFERENTIATION_IST_TE_ID,0))</f>
        <v>...</v>
      </c>
      <c s="313" t="s">
        <v>401</v>
      </c>
      <c s="303"/>
      <c s="2245"/>
      <c s="2246"/>
      <c s="2246"/>
      <c s="2246"/>
      <c s="2246"/>
      <c s="2246"/>
      <c s="2246"/>
      <c s="2247"/>
      <c s="2245" t="str">
        <f>INDEX(PT_DIFFERENTIATION_IST_TE,MATCH(D46,PT_DIFFERENTIATION_IST_TE_ID,0))</f>
        <v/>
      </c>
      <c s="2246"/>
      <c s="2246"/>
      <c s="2246"/>
      <c s="2246"/>
      <c s="2246"/>
      <c s="2246"/>
      <c s="2246"/>
      <c s="2247"/>
      <c s="1261" t="s">
        <v>402</v>
      </c>
      <c r="AO46" s="503"/>
      <c s="503" t="str">
        <f>IF(T46="","",T46)</f>
        <v>Источник тепловой энергии</v>
      </c>
      <c s="503"/>
      <c s="503"/>
      <c s="1158">
        <v>21</v>
      </c>
    </row>
    <row r="47" spans="1:45" ht="49.5" customHeight="1">
      <c r="A47" s="1366" t="s">
        <v>194</v>
      </c>
      <c s="1366" t="s">
        <v>195</v>
      </c>
      <c s="1366" t="s">
        <v>196</v>
      </c>
      <c s="1366" t="s">
        <v>197</v>
      </c>
      <c s="2262"/>
      <c s="2262"/>
      <c s="2262"/>
      <c s="2262"/>
      <c s="2259" t="str">
        <f>S46&amp;".1"</f>
        <v>....1</v>
      </c>
      <c s="1366"/>
      <c s="1366"/>
      <c s="1367" t="s">
        <v>403</v>
      </c>
      <c r="P47" s="2260">
        <v>1</v>
      </c>
      <c s="1334"/>
      <c s="359"/>
      <c s="1339" t="str">
        <f>$I47</f>
        <v>....1</v>
      </c>
      <c s="288" t="s">
        <v>404</v>
      </c>
      <c s="303"/>
      <c s="2248"/>
      <c s="2249"/>
      <c s="2249"/>
      <c s="2249"/>
      <c s="2249"/>
      <c s="2249"/>
      <c s="2249"/>
      <c s="2250"/>
      <c s="2248"/>
      <c s="2249"/>
      <c s="2249"/>
      <c s="2249"/>
      <c s="2249"/>
      <c s="2249"/>
      <c s="2249"/>
      <c s="2249"/>
      <c s="2250"/>
      <c s="1261" t="s">
        <v>405</v>
      </c>
      <c r="AO47" s="503"/>
      <c s="503" t="str">
        <f>IF(T47="","",T47)</f>
        <v>Схема подключения теплопотребляющей установки к коллектору источника тепловой энергии</v>
      </c>
      <c s="503"/>
      <c s="503"/>
      <c s="1158">
        <v>47</v>
      </c>
    </row>
    <row r="48" spans="1:45" ht="22.05" customHeight="1">
      <c r="A48" s="1366" t="s">
        <v>194</v>
      </c>
      <c s="1366" t="s">
        <v>195</v>
      </c>
      <c s="1366" t="s">
        <v>196</v>
      </c>
      <c s="1366" t="s">
        <v>197</v>
      </c>
      <c s="2262"/>
      <c s="2262"/>
      <c s="2262"/>
      <c s="2262"/>
      <c s="2289"/>
      <c s="2259" t="str">
        <f>I47&amp;".1"</f>
        <v>....1.1</v>
      </c>
      <c s="1366"/>
      <c s="1367" t="s">
        <v>406</v>
      </c>
      <c r="P48" s="2260"/>
      <c s="2260">
        <v>1</v>
      </c>
      <c s="360"/>
      <c s="1339" t="str">
        <f>$J48</f>
        <v>....1.1</v>
      </c>
      <c s="289" t="s">
        <v>407</v>
      </c>
      <c s="303"/>
      <c s="2248"/>
      <c s="2249"/>
      <c s="2249"/>
      <c s="2249"/>
      <c s="2249"/>
      <c s="2249"/>
      <c s="2249"/>
      <c s="2250"/>
      <c s="2248"/>
      <c s="2249"/>
      <c s="2249"/>
      <c s="2249"/>
      <c s="2249"/>
      <c s="2249"/>
      <c s="2249"/>
      <c s="2249"/>
      <c s="2250"/>
      <c s="1261" t="s">
        <v>408</v>
      </c>
      <c r="AO48" s="503"/>
      <c s="503" t="str">
        <f>IF(T48="","",T48)</f>
        <v>Группа потребителей</v>
      </c>
      <c s="503"/>
      <c s="503"/>
      <c s="1158">
        <v>21</v>
      </c>
    </row>
    <row r="49" spans="1:45" ht="22.05" customHeight="1">
      <c r="A49" s="1366" t="s">
        <v>194</v>
      </c>
      <c s="1366" t="s">
        <v>195</v>
      </c>
      <c s="1366" t="s">
        <v>196</v>
      </c>
      <c s="1366" t="s">
        <v>197</v>
      </c>
      <c s="2262"/>
      <c s="2262"/>
      <c s="2262"/>
      <c s="2262"/>
      <c s="2289"/>
      <c s="2289"/>
      <c s="2259" t="str">
        <f>J48&amp;".1"</f>
        <v>....1.1.1</v>
      </c>
      <c s="1367" t="s">
        <v>409</v>
      </c>
      <c r="P49" s="2260"/>
      <c s="2260"/>
      <c s="360">
        <v>1</v>
      </c>
      <c s="1339" t="str">
        <f>$K49</f>
        <v>....1.1.1</v>
      </c>
      <c s="1350"/>
      <c s="303"/>
      <c s="328"/>
      <c s="754"/>
      <c s="328"/>
      <c s="387"/>
      <c s="2268"/>
      <c s="2110" t="s">
        <v>65</v>
      </c>
      <c s="2268"/>
      <c s="2110" t="s">
        <v>65</v>
      </c>
      <c s="328"/>
      <c s="754"/>
      <c s="328"/>
      <c s="387"/>
      <c s="2268"/>
      <c s="2110" t="s">
        <v>65</v>
      </c>
      <c s="2290"/>
      <c s="2110" t="s">
        <v>65</v>
      </c>
      <c s="1351"/>
      <c s="2256" t="s">
        <v>410</v>
      </c>
      <c s="514">
        <f>STRCHECKDATE(V50:AL50)</f>
      </c>
      <c s="503"/>
      <c s="503" t="str">
        <f>IF(T49="","",T49)</f>
        <v/>
      </c>
      <c s="503"/>
      <c s="503"/>
      <c s="1158">
        <v>21</v>
      </c>
    </row>
    <row r="50" spans="1:45" ht="1.05" customHeight="1">
      <c r="A50" s="1366" t="s">
        <v>194</v>
      </c>
      <c s="1366" t="s">
        <v>195</v>
      </c>
      <c s="1366" t="s">
        <v>196</v>
      </c>
      <c s="1366" t="s">
        <v>197</v>
      </c>
      <c s="2262"/>
      <c s="2262"/>
      <c s="2262"/>
      <c s="2262"/>
      <c s="2289"/>
      <c s="2289"/>
      <c s="2259"/>
      <c s="1367"/>
      <c r="P50" s="2260"/>
      <c s="2260"/>
      <c s="360"/>
      <c s="1345"/>
      <c s="303"/>
      <c s="303"/>
      <c s="328"/>
      <c s="328"/>
      <c s="328"/>
      <c s="331" t="str">
        <f>Z49&amp;"-"&amp;AB49</f>
        <v>-</v>
      </c>
      <c s="2269"/>
      <c s="2110"/>
      <c s="2269"/>
      <c s="2110"/>
      <c s="328"/>
      <c s="328"/>
      <c s="328"/>
      <c s="331" t="str">
        <f>AH49&amp;"-"&amp;AJ49</f>
        <v>-</v>
      </c>
      <c s="2269"/>
      <c s="2110"/>
      <c s="2291"/>
      <c s="2110"/>
      <c s="1352"/>
      <c s="2257"/>
      <c r="AO50" s="503"/>
      <c s="503" t="str">
        <f>IF(T50="","",T50)</f>
        <v/>
      </c>
      <c s="503"/>
      <c s="503"/>
      <c s="1158">
        <v>1</v>
      </c>
    </row>
    <row r="51" spans="1:45" ht="11.55" customHeight="1">
      <c r="A51" s="1366" t="s">
        <v>194</v>
      </c>
      <c s="1366" t="s">
        <v>195</v>
      </c>
      <c s="1366" t="s">
        <v>196</v>
      </c>
      <c s="1366" t="s">
        <v>197</v>
      </c>
      <c s="2262"/>
      <c s="2262"/>
      <c s="2262"/>
      <c s="2262"/>
      <c s="2289"/>
      <c s="2259"/>
      <c s="1366"/>
      <c s="1367"/>
      <c r="P51" s="2260"/>
      <c s="2260"/>
      <c s="359"/>
      <c s="1281"/>
      <c s="291" t="s">
        <v>411</v>
      </c>
      <c s="370"/>
      <c s="370"/>
      <c s="370"/>
      <c s="370"/>
      <c s="370"/>
      <c s="370"/>
      <c s="370"/>
      <c s="370"/>
      <c s="370"/>
      <c s="370"/>
      <c s="370"/>
      <c s="370"/>
      <c s="370"/>
      <c s="370"/>
      <c s="370"/>
      <c s="370"/>
      <c s="370"/>
      <c s="327"/>
      <c s="2258"/>
      <c r="AO51" s="503"/>
      <c s="503" t="str">
        <f>IF(T51="","",T51)</f>
        <v>Добавить вид теплоносителя (параметры теплоносителя)</v>
      </c>
      <c s="503"/>
      <c s="503"/>
      <c s="1158">
        <v>11</v>
      </c>
    </row>
    <row r="52" spans="1:45" ht="11.55" customHeight="1">
      <c r="A52" s="1366" t="s">
        <v>194</v>
      </c>
      <c s="1366" t="s">
        <v>195</v>
      </c>
      <c s="1366" t="s">
        <v>196</v>
      </c>
      <c s="1366" t="s">
        <v>197</v>
      </c>
      <c s="2262"/>
      <c s="2262"/>
      <c s="2262"/>
      <c s="2262"/>
      <c s="2259"/>
      <c s="1366"/>
      <c s="1366"/>
      <c s="1367"/>
      <c r="P52" s="2260"/>
      <c s="1334"/>
      <c s="359"/>
      <c s="1281"/>
      <c s="290" t="s">
        <v>412</v>
      </c>
      <c s="370"/>
      <c s="370"/>
      <c s="370"/>
      <c s="370"/>
      <c s="370"/>
      <c s="370"/>
      <c s="370"/>
      <c s="370"/>
      <c s="369"/>
      <c s="370"/>
      <c s="370"/>
      <c s="370"/>
      <c s="370"/>
      <c s="370"/>
      <c s="370"/>
      <c s="370"/>
      <c s="369"/>
      <c s="370"/>
      <c s="306"/>
      <c r="AO52" s="503"/>
      <c s="503" t="str">
        <f>IF(T52="","",T52)</f>
        <v>Добавить группу потребителей</v>
      </c>
      <c s="503"/>
      <c s="503"/>
      <c s="1158">
        <v>11</v>
      </c>
    </row>
    <row r="53" spans="1:45" ht="14.7" customHeight="1">
      <c r="A53" s="1366" t="s">
        <v>194</v>
      </c>
      <c s="1366" t="s">
        <v>195</v>
      </c>
      <c s="1366" t="s">
        <v>196</v>
      </c>
      <c s="1366" t="s">
        <v>197</v>
      </c>
      <c s="2262"/>
      <c s="2262"/>
      <c s="2262"/>
      <c s="2261"/>
      <c s="1366"/>
      <c s="1366"/>
      <c s="1366"/>
      <c s="1367"/>
      <c s="1368"/>
      <c s="1368"/>
      <c s="540"/>
      <c s="363"/>
      <c s="378"/>
      <c s="358"/>
      <c s="1281"/>
      <c s="368" t="s">
        <v>413</v>
      </c>
      <c s="370"/>
      <c s="370"/>
      <c s="370"/>
      <c s="370"/>
      <c s="370"/>
      <c s="370"/>
      <c s="370"/>
      <c s="370"/>
      <c s="369"/>
      <c s="370"/>
      <c s="370"/>
      <c s="370"/>
      <c s="370"/>
      <c s="370"/>
      <c s="370"/>
      <c s="370"/>
      <c s="369"/>
      <c s="370"/>
      <c s="306"/>
      <c r="AO53" s="503"/>
      <c s="503" t="str">
        <f>IF(T53="","",T53)</f>
        <v>Добавить схему подключения</v>
      </c>
      <c s="503"/>
      <c s="503"/>
      <c s="1158">
        <v>14</v>
      </c>
    </row>
    <row r="54" spans="1:45" s="1645" customFormat="1" ht="1.05" customHeight="1">
      <c r="A54" s="1346" t="s">
        <v>194</v>
      </c>
      <c s="1346" t="s">
        <v>195</v>
      </c>
      <c s="1346" t="s">
        <v>196</v>
      </c>
      <c s="1317"/>
      <c s="2262"/>
      <c s="2262"/>
      <c s="2261"/>
      <c s="1317"/>
      <c s="1317"/>
      <c s="1317"/>
      <c s="1317"/>
      <c s="1342"/>
      <c s="1318"/>
      <c s="1318"/>
      <c r="P54" s="1319"/>
      <c s="1320"/>
      <c s="1319"/>
      <c s="1325"/>
      <c s="1328" t="s">
        <v>414</v>
      </c>
      <c s="1327"/>
      <c s="1327"/>
      <c s="1327"/>
      <c s="1327"/>
      <c s="1327"/>
      <c s="1327"/>
      <c s="1327"/>
      <c s="1327"/>
      <c s="1327"/>
      <c s="1327"/>
      <c s="1327"/>
      <c s="1327"/>
      <c s="1327"/>
      <c s="1327"/>
      <c s="1327"/>
      <c s="1327"/>
      <c s="1327"/>
      <c s="1327"/>
      <c s="1327"/>
      <c r="AO54" s="792"/>
      <c s="792" t="str">
        <f>IF(T54="","",T54)</f>
        <v>Добавить источник для дифференциации</v>
      </c>
      <c s="792"/>
      <c s="792"/>
      <c s="521">
        <v>1</v>
      </c>
    </row>
    <row r="55" spans="1:45" s="1645" customFormat="1" ht="1.05" customHeight="1">
      <c r="A55" s="1346" t="s">
        <v>194</v>
      </c>
      <c s="1346" t="s">
        <v>195</v>
      </c>
      <c s="1317"/>
      <c s="1317"/>
      <c s="2262"/>
      <c s="2261"/>
      <c s="1317"/>
      <c s="1317"/>
      <c s="1317"/>
      <c s="1317"/>
      <c s="1317"/>
      <c s="1342"/>
      <c s="1324"/>
      <c s="1324"/>
      <c r="P55" s="1319"/>
      <c s="1320"/>
      <c s="1319"/>
      <c s="1325"/>
      <c s="1328" t="s">
        <v>415</v>
      </c>
      <c s="1327"/>
      <c s="1327"/>
      <c s="1327"/>
      <c s="1327"/>
      <c s="1327"/>
      <c s="1327"/>
      <c s="1327"/>
      <c s="1327"/>
      <c s="1327"/>
      <c s="1327"/>
      <c s="1327"/>
      <c s="1327"/>
      <c s="1327"/>
      <c s="1327"/>
      <c s="1327"/>
      <c s="1327"/>
      <c s="1327"/>
      <c s="1327"/>
      <c s="1327"/>
      <c r="AO55" s="792"/>
      <c s="792" t="str">
        <f>IF(T55="","",T55)</f>
        <v>Добавить централизованную систему для дифференциации</v>
      </c>
      <c s="792"/>
      <c s="792"/>
      <c s="521">
        <v>1</v>
      </c>
    </row>
    <row r="56" spans="1:45" s="1645" customFormat="1" ht="1.05" customHeight="1">
      <c r="A56" s="1346" t="s">
        <v>194</v>
      </c>
      <c s="1346"/>
      <c s="1346"/>
      <c s="1346"/>
      <c s="2261"/>
      <c s="1346"/>
      <c s="1346"/>
      <c s="1346"/>
      <c s="1346"/>
      <c s="1346"/>
      <c s="1346"/>
      <c s="1349"/>
      <c s="1324"/>
      <c s="1324"/>
      <c s="521"/>
      <c s="383"/>
      <c s="1347"/>
      <c s="383"/>
      <c s="1325"/>
      <c s="1328" t="s">
        <v>416</v>
      </c>
      <c s="1327"/>
      <c s="1327"/>
      <c s="1327"/>
      <c s="1327"/>
      <c s="1327"/>
      <c s="1327"/>
      <c s="1327"/>
      <c s="1327"/>
      <c s="1327"/>
      <c s="1327"/>
      <c s="1327"/>
      <c s="1327"/>
      <c s="1327"/>
      <c s="1327"/>
      <c s="1327"/>
      <c s="1327"/>
      <c s="1327"/>
      <c s="1327"/>
      <c s="1327"/>
      <c r="AO56" s="503"/>
      <c s="503" t="str">
        <f>IF(T56="","",T56)</f>
        <v>Добавить территорию для дифференциации</v>
      </c>
      <c s="503"/>
      <c s="503"/>
      <c s="514">
        <v>1</v>
      </c>
    </row>
    <row r="57" spans="1:45" s="1645" customFormat="1" ht="1.05" customHeight="1">
      <c r="A57" s="1317"/>
      <c s="1317"/>
      <c s="1317"/>
      <c s="1317"/>
      <c s="1346"/>
      <c s="1317"/>
      <c s="1317"/>
      <c s="1317"/>
      <c s="1317"/>
      <c s="1317"/>
      <c s="1317"/>
      <c s="1342"/>
      <c s="1324"/>
      <c s="1324"/>
      <c r="P57" s="1319"/>
      <c s="1320"/>
      <c s="1319"/>
      <c s="1325"/>
      <c s="1328" t="s">
        <v>448</v>
      </c>
      <c s="1327"/>
      <c s="1327"/>
      <c s="1327"/>
      <c s="1327"/>
      <c s="1327"/>
      <c s="1327"/>
      <c s="1327"/>
      <c s="1327"/>
      <c s="1327"/>
      <c s="1327"/>
      <c s="1327"/>
      <c s="1327"/>
      <c s="1327"/>
      <c s="1327"/>
      <c s="1327"/>
      <c s="1327"/>
      <c s="1327"/>
      <c s="1327"/>
      <c s="1327"/>
      <c r="AO57" s="792"/>
      <c s="792" t="str">
        <f>IF(T57="","",T57)</f>
        <v>Добавить наименование тарифа</v>
      </c>
      <c s="792"/>
      <c s="792"/>
      <c s="521">
        <v>1</v>
      </c>
    </row>
    <row r="58" spans="13:45" ht="11.55" customHeight="1">
      <c r="M58" s="1163"/>
      <c s="1163"/>
      <c s="540"/>
      <c s="1158"/>
      <c s="1158"/>
      <c s="1158"/>
      <c s="1158"/>
      <c r="AN58" s="1158"/>
      <c s="1158"/>
      <c s="1158"/>
      <c s="1158"/>
      <c s="1158"/>
      <c s="1158">
        <v>11</v>
      </c>
    </row>
    <row r="59" spans="15:45" ht="28.5" customHeight="1">
      <c r="O59" s="540"/>
      <c r="S59" s="1256"/>
      <c s="2288"/>
      <c s="2288"/>
      <c s="2288"/>
      <c s="2288"/>
      <c s="2288"/>
      <c s="2288"/>
      <c s="2288"/>
      <c s="2288"/>
      <c s="2288"/>
      <c s="2288"/>
      <c s="2288"/>
      <c s="2288"/>
      <c s="2288"/>
      <c s="2288"/>
      <c s="2288"/>
      <c s="2288"/>
      <c s="2288"/>
      <c s="2288"/>
      <c s="2288"/>
      <c s="2288"/>
      <c r="AS59" s="1158">
        <v>27</v>
      </c>
    </row>
    <row r="60" spans="15:45" ht="78.75" customHeight="1">
      <c r="O60" s="540"/>
      <c r="T60" s="2288"/>
      <c s="2288"/>
      <c s="2288"/>
      <c s="2288"/>
      <c s="2288"/>
      <c s="2288"/>
      <c s="2288"/>
      <c s="2288"/>
      <c s="2288"/>
      <c s="2288"/>
      <c s="2288"/>
      <c s="2288"/>
      <c s="2288"/>
      <c s="2288"/>
      <c s="2288"/>
      <c s="2288"/>
      <c s="2288"/>
      <c s="2288"/>
      <c s="2288"/>
      <c s="2288"/>
      <c r="AS60" s="1158">
        <v>75</v>
      </c>
    </row>
    <row r="61" spans="15:45" ht="14.7" customHeight="1">
      <c r="O61" s="540"/>
      <c r="AS61" s="1158">
        <v>14</v>
      </c>
    </row>
    <row r="62" spans="15:45" ht="18.75" customHeight="1">
      <c r="O62" s="540"/>
      <c r="S62" s="1256"/>
      <c s="2288"/>
      <c s="2288"/>
      <c s="2288"/>
      <c s="2288"/>
      <c s="2288"/>
      <c s="2288"/>
      <c s="2288"/>
      <c s="2288"/>
      <c s="2288"/>
      <c s="2288"/>
      <c s="2288"/>
      <c s="2288"/>
      <c s="2288"/>
      <c s="2288"/>
      <c s="2288"/>
      <c s="2288"/>
      <c s="2288"/>
      <c s="2288"/>
      <c s="2288"/>
      <c s="2288"/>
      <c r="AS62" s="1158">
        <v>18</v>
      </c>
    </row>
    <row r="63" spans="15:45" ht="18.75" customHeight="1">
      <c r="O63" s="540"/>
      <c r="T63" s="2288"/>
      <c s="2288"/>
      <c s="2288"/>
      <c s="2288"/>
      <c s="2288"/>
      <c s="2288"/>
      <c s="2288"/>
      <c s="2288"/>
      <c s="2288"/>
      <c s="2288"/>
      <c s="2288"/>
      <c s="2288"/>
      <c s="2288"/>
      <c s="2288"/>
      <c s="2288"/>
      <c s="2288"/>
      <c s="2288"/>
      <c s="2288"/>
      <c s="2288"/>
      <c s="2288"/>
      <c r="AS63" s="1158">
        <v>18</v>
      </c>
    </row>
    <row r="64" spans="15:45" ht="39.75" customHeight="1">
      <c r="O64" s="540"/>
      <c r="S64" s="1256"/>
      <c s="2288"/>
      <c s="2288"/>
      <c s="2288"/>
      <c s="2288"/>
      <c s="2288"/>
      <c s="2288"/>
      <c s="2288"/>
      <c s="2288"/>
      <c s="2288"/>
      <c s="2288"/>
      <c s="2288"/>
      <c s="2288"/>
      <c s="2288"/>
      <c s="2288"/>
      <c s="2288"/>
      <c s="2288"/>
      <c s="2288"/>
      <c s="2288"/>
      <c s="2288"/>
      <c s="2288"/>
      <c r="AS64" s="1158">
        <v>38</v>
      </c>
    </row>
    <row r="65" spans="1:45" ht="22.5" customHeight="1" hidden="1">
      <c r="A65" s="1163" t="s">
        <v>81</v>
      </c>
      <c s="1163">
        <v>0</v>
      </c>
      <c s="1163">
        <v>0</v>
      </c>
      <c s="1163">
        <v>0</v>
      </c>
      <c s="1163">
        <v>0</v>
      </c>
      <c s="1163">
        <v>0</v>
      </c>
      <c s="1163">
        <v>0</v>
      </c>
      <c s="1163">
        <v>0</v>
      </c>
      <c s="1163">
        <v>0</v>
      </c>
      <c s="1163">
        <v>0</v>
      </c>
      <c s="1163">
        <v>0</v>
      </c>
      <c s="1332">
        <v>0</v>
      </c>
      <c s="1365">
        <v>0</v>
      </c>
      <c s="1365">
        <v>0</v>
      </c>
      <c s="1365">
        <v>0</v>
      </c>
      <c s="1331">
        <v>3</v>
      </c>
      <c s="347">
        <v>3</v>
      </c>
      <c s="347">
        <v>3</v>
      </c>
      <c s="584">
        <v>12</v>
      </c>
      <c s="1158">
        <v>31</v>
      </c>
      <c s="1158">
        <v>0</v>
      </c>
      <c s="1158">
        <v>0</v>
      </c>
      <c s="1158">
        <v>0</v>
      </c>
      <c s="1158">
        <v>0</v>
      </c>
      <c s="1158">
        <v>0</v>
      </c>
      <c s="1158">
        <v>0</v>
      </c>
      <c s="1158">
        <v>0</v>
      </c>
      <c s="1158">
        <v>0</v>
      </c>
      <c s="1158">
        <v>0</v>
      </c>
      <c s="1158">
        <v>0</v>
      </c>
      <c s="1158">
        <v>24</v>
      </c>
      <c s="1158">
        <v>0</v>
      </c>
      <c s="1158">
        <v>0</v>
      </c>
      <c s="1158">
        <v>11</v>
      </c>
      <c s="1158">
        <v>3</v>
      </c>
      <c s="1158">
        <v>11</v>
      </c>
      <c s="1158">
        <v>0</v>
      </c>
      <c s="1158">
        <v>4</v>
      </c>
      <c s="1158">
        <v>115</v>
      </c>
      <c s="514">
        <v>10</v>
      </c>
      <c s="514">
        <v>10</v>
      </c>
      <c s="514">
        <v>10</v>
      </c>
      <c s="514">
        <v>10</v>
      </c>
      <c s="514">
        <v>10</v>
      </c>
      <c s="1158">
        <v>23</v>
      </c>
    </row>
  </sheetData>
  <sheetProtection formatColumns="0" formatRows="0" insertRows="0" deleteColumns="0" deleteRows="0" sort="0" autoFilter="0"/>
  <mergeCells count="110">
    <mergeCell ref="V2:AC2"/>
    <mergeCell ref="AD2:AL2"/>
    <mergeCell ref="V3:AC3"/>
    <mergeCell ref="AD3:AL3"/>
    <mergeCell ref="V4:AC4"/>
    <mergeCell ref="AD4:AL4"/>
    <mergeCell ref="T62:AM62"/>
    <mergeCell ref="T63:AM63"/>
    <mergeCell ref="T64:AM64"/>
    <mergeCell ref="S34:T34"/>
    <mergeCell ref="V34:AB34"/>
    <mergeCell ref="AD34:AJ34"/>
    <mergeCell ref="S35:T35"/>
    <mergeCell ref="V35:AB35"/>
    <mergeCell ref="AD35:AJ35"/>
    <mergeCell ref="AM49:AM51"/>
    <mergeCell ref="T59:AM59"/>
    <mergeCell ref="T60:AM60"/>
    <mergeCell ref="V47:AC47"/>
    <mergeCell ref="AD47:AL47"/>
    <mergeCell ref="AA42:AB42"/>
    <mergeCell ref="AI42:AJ42"/>
    <mergeCell ref="AD40:AD41"/>
    <mergeCell ref="AE40:AE41"/>
    <mergeCell ref="AI49:AI50"/>
    <mergeCell ref="AJ49:AJ50"/>
    <mergeCell ref="AK49:AK50"/>
    <mergeCell ref="V5:AC5"/>
    <mergeCell ref="AD5:AL5"/>
    <mergeCell ref="V6:AC6"/>
    <mergeCell ref="AD6:AL6"/>
    <mergeCell ref="V7:AC7"/>
    <mergeCell ref="AD7:AL7"/>
    <mergeCell ref="AH40:AJ40"/>
    <mergeCell ref="AA41:AB41"/>
    <mergeCell ref="AI41:AJ41"/>
    <mergeCell ref="AD32:AJ32"/>
    <mergeCell ref="V37:AC37"/>
    <mergeCell ref="AD37:AK37"/>
    <mergeCell ref="S38:AL38"/>
    <mergeCell ref="S32:T32"/>
    <mergeCell ref="V32:AB32"/>
    <mergeCell ref="AD29:AJ29"/>
    <mergeCell ref="S30:T30"/>
    <mergeCell ref="V30:AB30"/>
    <mergeCell ref="AD30:AJ30"/>
    <mergeCell ref="S31:T31"/>
    <mergeCell ref="V31:AB31"/>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AM38:AM41"/>
    <mergeCell ref="S39:S41"/>
    <mergeCell ref="T39:T41"/>
    <mergeCell ref="V39:AB39"/>
    <mergeCell ref="AC39:AC41"/>
    <mergeCell ref="AD39:AJ39"/>
    <mergeCell ref="AK39:AK41"/>
    <mergeCell ref="AL39:AL41"/>
    <mergeCell ref="V40:V41"/>
    <mergeCell ref="W40:W41"/>
    <mergeCell ref="Z40:AB40"/>
    <mergeCell ref="AD31:AJ31"/>
    <mergeCell ref="AJ8:AJ9"/>
    <mergeCell ref="AK8:AK9"/>
    <mergeCell ref="Z8:Z9"/>
    <mergeCell ref="S26:AJ26"/>
    <mergeCell ref="S27:AJ27"/>
    <mergeCell ref="S29:T29"/>
    <mergeCell ref="V29:AB29"/>
    <mergeCell ref="AM8:AM10"/>
    <mergeCell ref="AH17:AH18"/>
    <mergeCell ref="AI17:AI18"/>
    <mergeCell ref="AJ17:AJ18"/>
    <mergeCell ref="AK17:AK18"/>
    <mergeCell ref="AA8:AA9"/>
    <mergeCell ref="AB8:AB9"/>
    <mergeCell ref="AC8:AC9"/>
    <mergeCell ref="AH8:AH9"/>
    <mergeCell ref="AI8:AI9"/>
    <mergeCell ref="E2:E15"/>
    <mergeCell ref="F3:F14"/>
    <mergeCell ref="G4:G13"/>
    <mergeCell ref="H5:H12"/>
    <mergeCell ref="I6:I11"/>
    <mergeCell ref="P6:P11"/>
    <mergeCell ref="J7:J10"/>
    <mergeCell ref="Q7:Q10"/>
    <mergeCell ref="K8:K9"/>
  </mergeCells>
  <dataValidations count="8">
    <dataValidation allowBlank="1" sqref="S65587:AM65593 S131123:AM131129 S196659:AM196665 S262195:AM262201 S327731:AM327737 S393267:AM393273 S458803:AM458809 S524339:AM524345 S589875:AM589881 S655411:AM655417 S720947:AM720953 S786483:AM786489 S852019:AM852025 S917555:AM917561 S983091:AM983097"/>
    <dataValidation type="list" allowBlank="1" showInputMessage="1" prompt="Выберите значение из списка" errorTitle="Ошибка" error="Выберите значение из списка" sqref="V65584:AL65584 V983088:AL983088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list" allowBlank="1" showInputMessage="1" showErrorMessage="1" errorTitle="Ошибка" error="Выберите значение из списка" sqref="V65583:W65583 V983087:W983087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8 Z65585 Z131121 Z196657 Z262193 Z327729 Z393265 Z458801 Z524337 Z589873 Z655409 Z720945 Z786481 Z852017 Z917553 Z983089 AB65585 AB131121 AB196657 AB262193 AB327729 AB393265 AB458801 AB524337 AB589873 AB655409 AB720945 AB786481 AB852017 AB917553 AB983089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8 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524337 AK8 AK589873 AK655409 AK17 AK720945 AK786481 AK852017 AK917553 AK983089 AK65585 AK131121 AK458801 AK196657 AK262193 AI49 AI8 AC8 AI17 AK327729 AK393265 AA49 AC49 AK49"/>
    <dataValidation allowBlank="1" promptTitle="checkPeriodRange" sqref="Y9 Y65586 Y131122 Y196658 Y262194 Y327730 Y393266 Y458802 Y524338 Y589874 Y655410 Y720946 Y786482 Y852018 Y917554 Y983090 AG65586 AG131122 AG196658 AG262194 AG327730 AG393266 AG458802 AG524338 AG589874 AG655410 AG720946 AG786482 AG852018 AG917554 AG983090 AG9 AG50 AG18 Y50"/>
  </dataValidations>
  <pageMargins left="0.7" right="0.7" top="0.75" bottom="0.75" header="0.3" footer="0.3"/>
  <pageSetup orientation="portrait"/>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m="http://schemas.microsoft.com/office/excel/2006/main" xmlns:x14ac="http://schemas.microsoft.com/office/spreadsheetml/2009/9/ac" xmlns:xr="http://schemas.microsoft.com/office/spreadsheetml/2014/revision" xmlns:xr2="http://schemas.microsoft.com/office/spreadsheetml/2015/revision2" xmlns:xr3="http://schemas.microsoft.com/office/spreadsheetml/2016/revision3" xr:uid="{6C37D6E7-777D-7E67-633C-686E907B9FCE}" mc:Ignorable="x14ac xr xr2 xr3">
  <sheetPr>
    <tabColor theme="6" tint="0.400000005960464"/>
  </sheetPr>
  <dimension ref="A1:AS66"/>
  <sheetViews>
    <sheetView showGridLines="0" zoomScale="90" zoomScaleNormal="90" workbookViewId="0" topLeftCell="A1">
      <pane xSplit="29" ySplit="42" topLeftCell="AD43" activePane="bottomRight" state="frozen"/>
      <selection pane="topLeft" activeCell="A1" sqref="A1"/>
      <selection pane="bottomLeft" activeCell="A43" sqref="A43"/>
      <selection pane="topRight" activeCell="AD1" sqref="AD1"/>
      <selection pane="bottomRight" activeCell="A1" sqref="A1"/>
    </sheetView>
  </sheetViews>
  <sheetFormatPr defaultColWidth="10.5742857142857" defaultRowHeight="14.25" customHeight="1"/>
  <cols>
    <col min="1" max="1" width="10.5714285714286" style="1369" hidden="1"/>
    <col min="2" max="2" width="11" style="1369" hidden="1" customWidth="1"/>
    <col min="3" max="3" width="10.5714285714286" style="1369" hidden="1"/>
    <col min="4" max="4" width="11.8571428571429" style="1369" hidden="1" customWidth="1"/>
    <col min="5" max="5" width="10" style="1369" hidden="1" customWidth="1"/>
    <col min="6" max="6" width="8.71428571428571" style="1369" hidden="1" customWidth="1"/>
    <col min="7" max="7" width="7.57142857142857" style="1369" hidden="1" customWidth="1"/>
    <col min="8" max="8" width="11.4285714285714" style="1369" hidden="1" customWidth="1"/>
    <col min="9" max="9" width="12" style="1369" hidden="1" customWidth="1"/>
    <col min="10" max="10" width="9.85714285714286" style="1369" hidden="1" customWidth="1"/>
    <col min="11" max="11" width="11.4285714285714" style="1369" hidden="1" customWidth="1"/>
    <col min="12" max="12" width="19.1428571428571" style="2610" hidden="1" customWidth="1"/>
    <col min="13" max="14" width="12.2857142857143" style="1779" hidden="1" customWidth="1"/>
    <col min="15" max="15" width="23.4285714285714" style="1779" hidden="1" customWidth="1"/>
    <col min="16" max="16" width="3.71428571428571" style="2400" hidden="1" customWidth="1"/>
    <col min="17" max="18" width="3" style="347" customWidth="1"/>
    <col min="19" max="19" width="12" style="2410" customWidth="1"/>
    <col min="20" max="20" width="31" style="1638" customWidth="1"/>
    <col min="21" max="21" width="0.142857142857143" style="1638" customWidth="1"/>
    <col min="22" max="22" width="24.7142857142857" style="1638" hidden="1" customWidth="1"/>
    <col min="23" max="23" width="0.142857142857143" style="1638" hidden="1" customWidth="1"/>
    <col min="24" max="25" width="24.7142857142857" style="1638" hidden="1" customWidth="1"/>
    <col min="26" max="26" width="11.7142857142857" style="1638" hidden="1" customWidth="1"/>
    <col min="27" max="27" width="3.71428571428571" style="1638" hidden="1" customWidth="1"/>
    <col min="28" max="28" width="11.7142857142857" style="1638" hidden="1" customWidth="1"/>
    <col min="29" max="29" width="8.57142857142857" style="1638" hidden="1" customWidth="1"/>
    <col min="30" max="30" width="24.7142857142857" style="1638" customWidth="1"/>
    <col min="31" max="31" width="0.142857142857143" style="1638" customWidth="1"/>
    <col min="32" max="33" width="24" style="1638" customWidth="1"/>
    <col min="34" max="34" width="11" style="1638" customWidth="1"/>
    <col min="35" max="35" width="3.71428571428571" style="1638" customWidth="1"/>
    <col min="36" max="36" width="11" style="1638" customWidth="1"/>
    <col min="37" max="37" width="8.57142857142857" style="1638" hidden="1" customWidth="1"/>
    <col min="38" max="38" width="4" style="1638" customWidth="1"/>
    <col min="39" max="39" width="115" style="1638" customWidth="1"/>
    <col min="40" max="44" width="10" style="1645" customWidth="1"/>
    <col min="45" max="45" width="8.42857142857143" style="1638" hidden="1" customWidth="1"/>
  </cols>
  <sheetData>
    <row r="1" spans="25:45" ht="22.5" customHeight="1" hidden="1">
      <c r="Y1" s="330"/>
      <c s="330"/>
      <c r="AG1" s="330"/>
      <c s="330"/>
      <c r="AS1" s="1158" t="s">
        <v>14</v>
      </c>
    </row>
    <row r="2" spans="1:45" ht="21" customHeight="1" hidden="1">
      <c r="A2" s="1366"/>
      <c s="1366"/>
      <c s="1366"/>
      <c s="1366"/>
      <c s="2261">
        <v>1</v>
      </c>
      <c s="1366"/>
      <c s="1366"/>
      <c s="1366"/>
      <c s="1366"/>
      <c s="1366"/>
      <c s="1366"/>
      <c s="1367"/>
      <c s="1368"/>
      <c s="1368"/>
      <c s="1368"/>
      <c s="364"/>
      <c s="363"/>
      <c s="358"/>
      <c s="1339">
        <f>INDEX(PT_DIFFERENTIATION_NUM_NTAR,MATCH(A2,PT_DIFFERENTIATION_NTAR_ID,0))</f>
      </c>
      <c s="301" t="s">
        <v>125</v>
      </c>
      <c s="303"/>
      <c s="2245"/>
      <c s="2246"/>
      <c s="2246"/>
      <c s="2246"/>
      <c s="2246"/>
      <c s="2246"/>
      <c s="2246"/>
      <c s="2247"/>
      <c s="2245">
        <f>INDEX(PT_DIFFERENTIATION_NTAR,MATCH(A2,PT_DIFFERENTIATION_NTAR_ID,0))</f>
      </c>
      <c s="2246"/>
      <c s="2246"/>
      <c s="2246"/>
      <c s="2246"/>
      <c s="2246"/>
      <c s="2246"/>
      <c s="2246"/>
      <c s="2247"/>
      <c s="1261" t="s">
        <v>396</v>
      </c>
      <c r="AO2" s="503"/>
      <c s="503" t="str">
        <f>IF(T2="","",T2)</f>
        <v>Наименование тарифа</v>
      </c>
      <c s="503"/>
      <c s="503"/>
      <c s="1158">
        <v>0</v>
      </c>
    </row>
    <row r="3" spans="1:45" ht="21" customHeight="1" hidden="1">
      <c r="A3" s="1366"/>
      <c s="1366"/>
      <c s="1366"/>
      <c s="1366"/>
      <c s="2262"/>
      <c s="2261">
        <v>1</v>
      </c>
      <c s="1366"/>
      <c s="1366"/>
      <c s="1366"/>
      <c s="1366"/>
      <c s="1366"/>
      <c s="1367"/>
      <c s="1368"/>
      <c s="1368"/>
      <c s="1368"/>
      <c s="1335"/>
      <c s="355"/>
      <c s="356"/>
      <c s="1339">
        <f>INDEX(PT_DIFFERENTIATION_NUM_TER,MATCH(B3,PT_DIFFERENTIATION_TER_ID,0))</f>
      </c>
      <c s="311" t="s">
        <v>397</v>
      </c>
      <c s="303"/>
      <c s="2245"/>
      <c s="2246"/>
      <c s="2246"/>
      <c s="2246"/>
      <c s="2246"/>
      <c s="2246"/>
      <c s="2246"/>
      <c s="2247"/>
      <c s="2245">
        <f>INDEX(PT_DIFFERENTIATION_TER,MATCH(B3,PT_DIFFERENTIATION_TER_ID,0))</f>
      </c>
      <c s="2246"/>
      <c s="2246"/>
      <c s="2246"/>
      <c s="2246"/>
      <c s="2246"/>
      <c s="2246"/>
      <c s="2246"/>
      <c s="2247"/>
      <c s="1261" t="s">
        <v>398</v>
      </c>
      <c r="AO3" s="503"/>
      <c s="503" t="str">
        <f>IF(T3="","",T3)</f>
        <v>Территория действия тарифа</v>
      </c>
      <c s="503"/>
      <c s="503"/>
      <c s="1158">
        <v>0</v>
      </c>
    </row>
    <row r="4" spans="1:45" ht="23.25" customHeight="1" hidden="1">
      <c r="A4" s="1366"/>
      <c s="1366"/>
      <c s="1366"/>
      <c s="1366"/>
      <c s="2262"/>
      <c s="2262"/>
      <c s="2261">
        <v>1</v>
      </c>
      <c s="1366"/>
      <c s="1366"/>
      <c s="1366"/>
      <c s="1366"/>
      <c s="1367"/>
      <c s="1368"/>
      <c s="1368"/>
      <c s="1368"/>
      <c s="357"/>
      <c s="355"/>
      <c s="356"/>
      <c s="1339">
        <f>INDEX(PT_DIFFERENTIATION_NUM_CS,MATCH(C4,PT_DIFFERENTIATION_CS_ID,0))</f>
      </c>
      <c s="312" t="s">
        <v>399</v>
      </c>
      <c s="303"/>
      <c s="2245"/>
      <c s="2246"/>
      <c s="2246"/>
      <c s="2246"/>
      <c s="2246"/>
      <c s="2246"/>
      <c s="2246"/>
      <c s="2247"/>
      <c s="2245">
        <f>INDEX(PT_DIFFERENTIATION_CS,MATCH(C4,PT_DIFFERENTIATION_CS_ID,0))</f>
      </c>
      <c s="2246"/>
      <c s="2246"/>
      <c s="2246"/>
      <c s="2246"/>
      <c s="2246"/>
      <c s="2246"/>
      <c s="2246"/>
      <c s="2247"/>
      <c s="1261" t="s">
        <v>400</v>
      </c>
      <c r="AO4" s="503"/>
      <c s="503" t="str">
        <f>IF(T4="","",T4)</f>
        <v>Наименование системы теплоснабжения</v>
      </c>
      <c s="503"/>
      <c s="503"/>
      <c s="1158">
        <v>0</v>
      </c>
    </row>
    <row r="5" spans="1:45" ht="21" customHeight="1" hidden="1">
      <c r="A5" s="1366"/>
      <c s="1366"/>
      <c s="1366"/>
      <c s="1366"/>
      <c s="2262"/>
      <c s="2262"/>
      <c s="2262"/>
      <c s="2261">
        <v>1</v>
      </c>
      <c s="1366"/>
      <c s="1366"/>
      <c s="1366"/>
      <c s="1367"/>
      <c s="1368"/>
      <c s="1368"/>
      <c s="1368"/>
      <c s="357"/>
      <c s="355"/>
      <c s="356"/>
      <c s="1339">
        <f>INDEX(PT_DIFFERENTIATION_NUM_IST_TE,MATCH(D5,PT_DIFFERENTIATION_IST_TE_ID,0))</f>
      </c>
      <c s="313" t="s">
        <v>401</v>
      </c>
      <c s="303"/>
      <c s="2245"/>
      <c s="2246"/>
      <c s="2246"/>
      <c s="2246"/>
      <c s="2246"/>
      <c s="2246"/>
      <c s="2246"/>
      <c s="2247"/>
      <c s="2245">
        <f>INDEX(PT_DIFFERENTIATION_IST_TE,MATCH(D5,PT_DIFFERENTIATION_IST_TE_ID,0))</f>
      </c>
      <c s="2246"/>
      <c s="2246"/>
      <c s="2246"/>
      <c s="2246"/>
      <c s="2246"/>
      <c s="2246"/>
      <c s="2246"/>
      <c s="2247"/>
      <c s="1261" t="s">
        <v>402</v>
      </c>
      <c r="AO5" s="503"/>
      <c s="503" t="str">
        <f>IF(T5="","",T5)</f>
        <v>Источник тепловой энергии</v>
      </c>
      <c s="503"/>
      <c s="503"/>
      <c s="1158">
        <v>0</v>
      </c>
    </row>
    <row r="6" spans="1:45" ht="14.25" customHeight="1" hidden="1">
      <c r="A6" s="1366"/>
      <c s="1366"/>
      <c s="1366"/>
      <c s="1366"/>
      <c s="2262"/>
      <c s="2262"/>
      <c s="2262"/>
      <c s="2262"/>
      <c s="2259">
        <f>S5&amp;".1"</f>
      </c>
      <c s="1366"/>
      <c s="1366"/>
      <c s="1367" t="s">
        <v>403</v>
      </c>
      <c s="540"/>
      <c r="P6" s="2260">
        <v>1</v>
      </c>
      <c s="1334"/>
      <c s="359"/>
      <c s="1045"/>
      <c s="1386"/>
      <c s="1387"/>
      <c s="2299"/>
      <c s="2300"/>
      <c s="2300"/>
      <c s="2300"/>
      <c s="2300"/>
      <c s="2300"/>
      <c s="2300"/>
      <c s="2301"/>
      <c s="2299"/>
      <c s="2300"/>
      <c s="2300"/>
      <c s="2300"/>
      <c s="2300"/>
      <c s="2300"/>
      <c s="2300"/>
      <c s="2300"/>
      <c s="2301"/>
      <c s="1388"/>
      <c r="AO6" s="503"/>
      <c s="503" t="str">
        <f>IF(T6="","",T6)</f>
        <v/>
      </c>
      <c s="503"/>
      <c s="503"/>
      <c s="1158">
        <v>0</v>
      </c>
    </row>
    <row r="7" spans="1:45" ht="21" customHeight="1" hidden="1">
      <c r="A7" s="1366"/>
      <c s="1366"/>
      <c s="1366"/>
      <c s="1366"/>
      <c s="2262"/>
      <c s="2262"/>
      <c s="2262"/>
      <c s="2262"/>
      <c s="2289"/>
      <c s="2259">
        <f>I6&amp;".1"</f>
      </c>
      <c s="1366"/>
      <c s="1367" t="s">
        <v>406</v>
      </c>
      <c s="540"/>
      <c s="1369"/>
      <c r="P7" s="2260"/>
      <c s="2260">
        <v>1</v>
      </c>
      <c s="360"/>
      <c s="1339">
        <f>$J7</f>
      </c>
      <c s="289" t="s">
        <v>407</v>
      </c>
      <c s="303"/>
      <c s="2248"/>
      <c s="2249"/>
      <c s="2249"/>
      <c s="2249"/>
      <c s="2249"/>
      <c s="2249"/>
      <c s="2249"/>
      <c s="2250"/>
      <c s="2248"/>
      <c s="2249"/>
      <c s="2249"/>
      <c s="2249"/>
      <c s="2249"/>
      <c s="2249"/>
      <c s="2249"/>
      <c s="2249"/>
      <c s="2250"/>
      <c s="1261" t="s">
        <v>408</v>
      </c>
      <c r="AO7" s="503"/>
      <c s="503" t="str">
        <f>IF(T7="","",T7)</f>
        <v>Группа потребителей</v>
      </c>
      <c s="503"/>
      <c s="503"/>
      <c s="1158">
        <v>0</v>
      </c>
    </row>
    <row r="8" spans="1:45" ht="21" customHeight="1" hidden="1">
      <c r="A8" s="1366"/>
      <c s="1366"/>
      <c s="1366"/>
      <c s="1366"/>
      <c s="2262"/>
      <c s="2262"/>
      <c s="2262"/>
      <c s="2262"/>
      <c s="2289"/>
      <c s="2289"/>
      <c s="2259">
        <f>J7&amp;".1"</f>
      </c>
      <c s="1367" t="s">
        <v>409</v>
      </c>
      <c s="540"/>
      <c s="1369"/>
      <c s="1369"/>
      <c s="2260"/>
      <c s="2260"/>
      <c s="360">
        <v>1</v>
      </c>
      <c s="1339">
        <f>$K8</f>
      </c>
      <c s="1350"/>
      <c s="303"/>
      <c s="754"/>
      <c s="328"/>
      <c s="754"/>
      <c s="1260"/>
      <c s="2268"/>
      <c s="2110" t="s">
        <v>65</v>
      </c>
      <c s="2268"/>
      <c s="2110" t="s">
        <v>65</v>
      </c>
      <c s="754"/>
      <c s="328"/>
      <c s="754"/>
      <c s="1260"/>
      <c s="2268"/>
      <c s="2110" t="s">
        <v>65</v>
      </c>
      <c s="2268"/>
      <c s="2110" t="s">
        <v>65</v>
      </c>
      <c s="328"/>
      <c s="2256" t="s">
        <v>410</v>
      </c>
      <c s="514">
        <f>STRCHECKDATE(V9:AL9)</f>
      </c>
      <c s="503"/>
      <c s="503" t="str">
        <f>IF(T8="","",T8)</f>
        <v/>
      </c>
      <c s="503"/>
      <c s="503"/>
      <c s="1158">
        <v>0</v>
      </c>
    </row>
    <row r="9" spans="1:45" ht="0.75" customHeight="1" hidden="1">
      <c r="A9" s="1366"/>
      <c s="1366"/>
      <c s="1366"/>
      <c s="1366"/>
      <c s="2262"/>
      <c s="2262"/>
      <c s="2262"/>
      <c s="2262"/>
      <c s="2289"/>
      <c s="2289"/>
      <c s="2259"/>
      <c s="1367"/>
      <c s="540"/>
      <c s="1369"/>
      <c s="1369"/>
      <c s="2260"/>
      <c s="2260"/>
      <c s="360"/>
      <c s="1345"/>
      <c s="303"/>
      <c s="303"/>
      <c s="328"/>
      <c s="328"/>
      <c s="328"/>
      <c s="331" t="str">
        <f>Z8&amp;"-"&amp;AB8</f>
        <v>-</v>
      </c>
      <c s="2269"/>
      <c s="2110"/>
      <c s="2269"/>
      <c s="2110"/>
      <c s="328"/>
      <c s="328"/>
      <c s="328"/>
      <c s="331" t="str">
        <f>AH8&amp;"-"&amp;AJ8</f>
        <v>-</v>
      </c>
      <c s="2269"/>
      <c s="2110"/>
      <c s="2269"/>
      <c s="2110"/>
      <c s="328"/>
      <c s="2257"/>
      <c r="AO9" s="503"/>
      <c s="503" t="str">
        <f>IF(T9="","",T9)</f>
        <v/>
      </c>
      <c s="503"/>
      <c s="503"/>
      <c s="1158">
        <v>0</v>
      </c>
    </row>
    <row r="10" spans="1:45" ht="15" customHeight="1" hidden="1">
      <c r="A10" s="1366"/>
      <c s="1366"/>
      <c s="1366"/>
      <c s="1366"/>
      <c s="2262"/>
      <c s="2262"/>
      <c s="2262"/>
      <c s="2262"/>
      <c s="2289"/>
      <c s="2259"/>
      <c s="1366"/>
      <c s="1367"/>
      <c s="540"/>
      <c s="1369"/>
      <c r="P10" s="2260"/>
      <c s="2260"/>
      <c s="359"/>
      <c s="1281"/>
      <c s="290" t="s">
        <v>411</v>
      </c>
      <c s="370"/>
      <c s="370"/>
      <c s="370"/>
      <c s="370"/>
      <c s="370"/>
      <c s="370"/>
      <c s="370"/>
      <c s="370"/>
      <c s="370"/>
      <c s="370"/>
      <c s="370"/>
      <c s="370"/>
      <c s="370"/>
      <c s="370"/>
      <c s="370"/>
      <c s="370"/>
      <c s="370"/>
      <c s="327"/>
      <c s="2258"/>
      <c r="AO10" s="503"/>
      <c s="503" t="str">
        <f>IF(T10="","",T10)</f>
        <v>Добавить вид теплоносителя (параметры теплоносителя)</v>
      </c>
      <c s="503"/>
      <c s="503"/>
      <c s="1158">
        <v>0</v>
      </c>
    </row>
    <row r="11" spans="1:45" ht="15" customHeight="1" hidden="1">
      <c r="A11" s="1366"/>
      <c s="1366"/>
      <c s="1366"/>
      <c s="1366"/>
      <c s="2262"/>
      <c s="2262"/>
      <c s="2262"/>
      <c s="2262"/>
      <c s="2259"/>
      <c s="1366"/>
      <c s="1366"/>
      <c s="1367"/>
      <c s="540"/>
      <c r="P11" s="2260"/>
      <c s="1334"/>
      <c s="359"/>
      <c s="1281"/>
      <c s="368" t="s">
        <v>412</v>
      </c>
      <c s="370"/>
      <c s="370"/>
      <c s="370"/>
      <c s="370"/>
      <c s="370"/>
      <c s="370"/>
      <c s="370"/>
      <c s="370"/>
      <c s="369"/>
      <c s="370"/>
      <c s="370"/>
      <c s="370"/>
      <c s="370"/>
      <c s="370"/>
      <c s="370"/>
      <c s="370"/>
      <c s="369"/>
      <c s="370"/>
      <c s="306"/>
      <c r="AO11" s="503"/>
      <c s="503" t="str">
        <f>IF(T11="","",T11)</f>
        <v>Добавить группу потребителей</v>
      </c>
      <c s="503"/>
      <c s="503"/>
      <c s="1158">
        <v>0</v>
      </c>
    </row>
    <row r="12" spans="1:45" ht="14.25" customHeight="1" hidden="1">
      <c r="A12" s="1366"/>
      <c s="1366"/>
      <c s="1366"/>
      <c s="1366"/>
      <c s="2262"/>
      <c s="2262"/>
      <c s="2262"/>
      <c s="2261"/>
      <c s="1366"/>
      <c s="1366"/>
      <c s="1366"/>
      <c s="1367"/>
      <c s="1368"/>
      <c s="1368"/>
      <c s="540"/>
      <c s="363"/>
      <c s="378"/>
      <c s="358"/>
      <c s="1389"/>
      <c s="1390"/>
      <c s="1391"/>
      <c s="1391"/>
      <c s="1391"/>
      <c s="1391"/>
      <c s="1391"/>
      <c s="1391"/>
      <c s="1391"/>
      <c s="1391"/>
      <c s="1391"/>
      <c s="1391"/>
      <c s="1391"/>
      <c s="1391"/>
      <c s="1391"/>
      <c s="1391"/>
      <c s="1391"/>
      <c s="1391"/>
      <c s="1391"/>
      <c s="1391"/>
      <c s="1392"/>
      <c r="AO12" s="503"/>
      <c s="503" t="str">
        <f>IF(T12="","",T12)</f>
        <v/>
      </c>
      <c s="503"/>
      <c s="503"/>
      <c s="1158">
        <v>0</v>
      </c>
    </row>
    <row r="13" spans="1:45" s="1645" customFormat="1" ht="0.75" customHeight="1" hidden="1">
      <c r="A13" s="1317"/>
      <c s="1317"/>
      <c s="1317"/>
      <c s="1317"/>
      <c s="2262"/>
      <c s="2262"/>
      <c s="2261"/>
      <c s="1317"/>
      <c s="1317"/>
      <c s="1317"/>
      <c s="1317"/>
      <c s="1342"/>
      <c s="1318"/>
      <c s="1318"/>
      <c r="P13" s="1319"/>
      <c s="1320"/>
      <c s="1319"/>
      <c s="1321"/>
      <c s="1322" t="s">
        <v>414</v>
      </c>
      <c s="1323"/>
      <c s="1323"/>
      <c s="1323"/>
      <c s="1323"/>
      <c s="1323"/>
      <c s="1323"/>
      <c s="1323"/>
      <c s="1323"/>
      <c s="1323"/>
      <c s="1323"/>
      <c s="1323"/>
      <c s="1323"/>
      <c s="1323"/>
      <c s="1323"/>
      <c s="1323"/>
      <c s="1323"/>
      <c s="1323"/>
      <c s="1323"/>
      <c s="1323"/>
      <c r="AO13" s="792"/>
      <c s="792" t="str">
        <f>IF(T13="","",T13)</f>
        <v>Добавить источник для дифференциации</v>
      </c>
      <c s="792"/>
      <c s="792"/>
      <c s="521">
        <v>0</v>
      </c>
    </row>
    <row r="14" spans="1:45" s="1645" customFormat="1" ht="0.75" customHeight="1" hidden="1">
      <c r="A14" s="1317"/>
      <c s="1317"/>
      <c s="1317"/>
      <c s="1317"/>
      <c s="2262"/>
      <c s="2261"/>
      <c s="1317"/>
      <c s="1317"/>
      <c s="1317"/>
      <c s="1317"/>
      <c s="1317"/>
      <c s="1342"/>
      <c s="1324"/>
      <c s="1324"/>
      <c r="P14" s="1319"/>
      <c s="1320"/>
      <c s="1319"/>
      <c s="1325"/>
      <c s="1326" t="s">
        <v>415</v>
      </c>
      <c s="1327"/>
      <c s="1327"/>
      <c s="1327"/>
      <c s="1327"/>
      <c s="1327"/>
      <c s="1327"/>
      <c s="1327"/>
      <c s="1327"/>
      <c s="1327"/>
      <c s="1327"/>
      <c s="1327"/>
      <c s="1327"/>
      <c s="1327"/>
      <c s="1327"/>
      <c s="1327"/>
      <c s="1327"/>
      <c s="1327"/>
      <c s="1327"/>
      <c s="1327"/>
      <c r="AO14" s="792"/>
      <c s="792" t="str">
        <f>IF(T14="","",T14)</f>
        <v>Добавить централизованную систему для дифференциации</v>
      </c>
      <c s="792"/>
      <c s="792"/>
      <c s="521">
        <v>0</v>
      </c>
    </row>
    <row r="15" spans="1:45" s="1645" customFormat="1" ht="0.75" customHeight="1" hidden="1">
      <c r="A15" s="1317"/>
      <c s="1317"/>
      <c s="1317"/>
      <c s="1317"/>
      <c s="2261"/>
      <c s="1317"/>
      <c s="1317"/>
      <c s="1317"/>
      <c s="1317"/>
      <c s="1317"/>
      <c s="1317"/>
      <c s="1342"/>
      <c s="1324"/>
      <c s="1324"/>
      <c r="P15" s="1319"/>
      <c s="1320"/>
      <c s="1319"/>
      <c s="1325"/>
      <c s="1328" t="s">
        <v>416</v>
      </c>
      <c s="1327"/>
      <c s="1327"/>
      <c s="1327"/>
      <c s="1327"/>
      <c s="1327"/>
      <c s="1327"/>
      <c s="1327"/>
      <c s="1327"/>
      <c s="1327"/>
      <c s="1327"/>
      <c s="1327"/>
      <c s="1327"/>
      <c s="1327"/>
      <c s="1327"/>
      <c s="1327"/>
      <c s="1327"/>
      <c s="1327"/>
      <c s="1327"/>
      <c s="1327"/>
      <c r="AO15" s="792"/>
      <c s="792" t="str">
        <f>IF(T15="","",T15)</f>
        <v>Добавить территорию для дифференциации</v>
      </c>
      <c s="792"/>
      <c s="792"/>
      <c s="521">
        <v>0</v>
      </c>
    </row>
    <row r="16" spans="29:45" ht="14.25" customHeight="1" hidden="1">
      <c r="AC16" s="330"/>
      <c r="AK16" s="330"/>
      <c r="AS16" s="1158">
        <v>0</v>
      </c>
    </row>
    <row r="17" spans="30:45" ht="14.25" customHeight="1" hidden="1">
      <c r="AD17" s="1363"/>
      <c s="1363"/>
      <c s="1363"/>
      <c s="1364"/>
      <c s="2270"/>
      <c s="2271" t="s">
        <v>65</v>
      </c>
      <c s="2270"/>
      <c s="2271" t="s">
        <v>65</v>
      </c>
      <c r="AS17" s="1158">
        <v>0</v>
      </c>
    </row>
    <row r="18" spans="30:45" ht="14.25" customHeight="1" hidden="1">
      <c r="AD18" s="1363"/>
      <c s="1363"/>
      <c s="1363"/>
      <c s="331" t="str">
        <f>AH17&amp;"-"&amp;AJ17</f>
        <v>-</v>
      </c>
      <c s="2271"/>
      <c s="2271"/>
      <c s="2271"/>
      <c s="2271"/>
      <c r="AS18" s="1158">
        <v>0</v>
      </c>
    </row>
    <row r="19" spans="37:45" ht="14.25" customHeight="1" hidden="1">
      <c r="AK19" s="330"/>
      <c r="AS19" s="1158">
        <v>0</v>
      </c>
    </row>
    <row r="20" spans="12:45" s="1369" customFormat="1" ht="22.5" customHeight="1" hidden="1">
      <c r="L20" s="1332"/>
      <c s="1365"/>
      <c s="1365"/>
      <c s="1370" t="s">
        <v>417</v>
      </c>
      <c s="1365"/>
      <c s="1374"/>
      <c s="1374"/>
      <c s="732"/>
      <c r="Z20" s="1370"/>
      <c r="AB20" s="1370"/>
      <c s="1369"/>
      <c r="AH20" s="1370"/>
      <c r="AJ20" s="1370"/>
      <c s="1369"/>
      <c r="AN20" s="514"/>
      <c s="514"/>
      <c s="514"/>
      <c s="514"/>
      <c s="514"/>
      <c s="1163">
        <v>0</v>
      </c>
    </row>
    <row r="21" spans="12:45" s="1369" customFormat="1" ht="14.25" customHeight="1" hidden="1">
      <c r="L21" s="1332"/>
      <c s="1365"/>
      <c s="1365"/>
      <c s="1365"/>
      <c s="1365"/>
      <c s="1374"/>
      <c s="1374"/>
      <c s="732"/>
      <c r="AC21" s="1369"/>
      <c r="AK21" s="1369"/>
      <c r="AN21" s="514"/>
      <c s="514"/>
      <c s="514"/>
      <c s="514"/>
      <c s="514"/>
      <c s="1163">
        <v>0</v>
      </c>
    </row>
    <row r="22" spans="12:45" s="1369" customFormat="1" ht="14.25" customHeight="1" hidden="1">
      <c r="L22" s="1332"/>
      <c s="1365"/>
      <c s="1365"/>
      <c s="1367" t="s">
        <v>418</v>
      </c>
      <c s="1365"/>
      <c s="1374"/>
      <c s="1374"/>
      <c s="732"/>
      <c s="1163" t="s">
        <v>419</v>
      </c>
      <c r="AA22" s="189" t="s">
        <v>420</v>
      </c>
      <c r="AC22" s="189" t="s">
        <v>421</v>
      </c>
      <c s="1163" t="s">
        <v>419</v>
      </c>
      <c r="AI22" s="189" t="s">
        <v>422</v>
      </c>
      <c r="AK22" s="189" t="s">
        <v>421</v>
      </c>
      <c r="AN22" s="514"/>
      <c s="514"/>
      <c s="514"/>
      <c s="514"/>
      <c s="514"/>
      <c s="1163">
        <v>0</v>
      </c>
    </row>
    <row r="23" spans="15:45" ht="14.25" customHeight="1" hidden="1">
      <c r="O23" s="1367"/>
      <c r="AS23" s="1158">
        <v>0</v>
      </c>
    </row>
    <row r="24" spans="15:45" ht="14.25" customHeight="1" hidden="1">
      <c r="O24" s="1367"/>
      <c r="AS24" s="1158">
        <v>0</v>
      </c>
    </row>
    <row r="25" spans="17:45" ht="14.7" customHeight="1">
      <c r="Q25" s="379"/>
      <c s="379"/>
      <c s="1278"/>
      <c s="366"/>
      <c s="366"/>
      <c s="512"/>
      <c s="512"/>
      <c s="512"/>
      <c s="512"/>
      <c s="512"/>
      <c s="512"/>
      <c s="512"/>
      <c s="512"/>
      <c s="512"/>
      <c s="512"/>
      <c s="512"/>
      <c s="512"/>
      <c s="512"/>
      <c s="512"/>
      <c s="512"/>
      <c s="512"/>
      <c r="AS25" s="1158">
        <v>14</v>
      </c>
    </row>
    <row r="26" spans="17:45" ht="63" customHeight="1">
      <c r="Q26" s="379"/>
      <c s="379"/>
      <c s="2251"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s="2251"/>
      <c s="2251"/>
      <c s="2251"/>
      <c s="2251"/>
      <c s="2251"/>
      <c s="2251"/>
      <c s="2251"/>
      <c s="2251"/>
      <c s="2251"/>
      <c s="2251"/>
      <c s="2251"/>
      <c s="2251"/>
      <c s="2251"/>
      <c s="2251"/>
      <c s="2251"/>
      <c s="2251"/>
      <c s="2251"/>
      <c s="1246"/>
      <c r="AS26" s="1158">
        <v>60</v>
      </c>
    </row>
    <row r="27" spans="17:45" ht="14.7" customHeight="1">
      <c r="Q27" s="379"/>
      <c s="379"/>
      <c s="2252" t="str">
        <f>IF(org=0,"Не определено",org)</f>
        <v>ГУП КК "Кубаньводкомплекс"</v>
      </c>
      <c s="2252"/>
      <c s="2252"/>
      <c s="2252"/>
      <c s="2252"/>
      <c s="2252"/>
      <c s="2252"/>
      <c s="2252"/>
      <c s="2252"/>
      <c s="2252"/>
      <c s="2252"/>
      <c s="2252"/>
      <c s="2252"/>
      <c s="2252"/>
      <c s="2252"/>
      <c s="2252"/>
      <c s="2252"/>
      <c s="2252"/>
      <c s="1246"/>
      <c r="AS27" s="1158">
        <v>14</v>
      </c>
    </row>
    <row r="28" spans="17:45" ht="14.25" customHeight="1" hidden="1">
      <c r="Q28" s="379"/>
      <c s="379"/>
      <c s="1278"/>
      <c s="366"/>
      <c s="366"/>
      <c s="325"/>
      <c s="325"/>
      <c s="325"/>
      <c s="325"/>
      <c s="325"/>
      <c s="325"/>
      <c s="325"/>
      <c s="325"/>
      <c s="325"/>
      <c s="325"/>
      <c s="325"/>
      <c s="325"/>
      <c s="325"/>
      <c s="325"/>
      <c s="325"/>
      <c s="325"/>
      <c s="512"/>
      <c r="AS28" s="1158">
        <v>0</v>
      </c>
    </row>
    <row r="29" spans="1:45" s="1856" customFormat="1" ht="25.5" customHeight="1" hidden="1">
      <c r="A29" s="1371"/>
      <c s="1371"/>
      <c s="1371"/>
      <c s="1371"/>
      <c s="1371"/>
      <c s="1371"/>
      <c s="1371"/>
      <c s="1371"/>
      <c s="1371"/>
      <c s="1371"/>
      <c s="1371"/>
      <c s="1372"/>
      <c s="1371"/>
      <c s="1371"/>
      <c s="1371"/>
      <c r="S29" s="2253" t="s">
        <v>42</v>
      </c>
      <c s="2253"/>
      <c s="1375"/>
      <c s="2254" t="str">
        <f>IF(TITLE_NAME_OR_PR_CHANGE="",IF(TITLE_NAME_OR_PR="","",TITLE_NAME_OR_PR),TITLE_NAME_OR_PR_CHANGE)</f>
        <v/>
      </c>
      <c s="2254"/>
      <c s="2254"/>
      <c s="2254"/>
      <c s="2254"/>
      <c s="2254"/>
      <c s="2254"/>
      <c s="329"/>
      <c s="2254" t="str">
        <f>IF(TITLE_NAME_OR_PR_CHANGE="",IF(TITLE_NAME_OR_PR="","",TITLE_NAME_OR_PR),TITLE_NAME_OR_PR_CHANGE)</f>
        <v/>
      </c>
      <c s="2254"/>
      <c s="2254"/>
      <c s="2254"/>
      <c s="2254"/>
      <c s="2254"/>
      <c s="2254"/>
      <c s="329"/>
      <c s="329"/>
      <c s="283"/>
      <c s="371"/>
      <c s="371"/>
      <c s="371"/>
      <c s="371"/>
      <c s="371"/>
      <c s="421">
        <v>0</v>
      </c>
    </row>
    <row r="30" spans="1:45" s="1856" customFormat="1" ht="18.75" customHeight="1" hidden="1">
      <c r="A30" s="1371"/>
      <c s="1371"/>
      <c s="1371"/>
      <c s="1371"/>
      <c s="1371"/>
      <c s="1371"/>
      <c s="1371"/>
      <c s="1371"/>
      <c s="1371"/>
      <c s="1371"/>
      <c s="1371"/>
      <c s="1372"/>
      <c s="1371"/>
      <c s="1371"/>
      <c s="1371"/>
      <c r="S30" s="2253" t="s">
        <v>423</v>
      </c>
      <c s="2253"/>
      <c s="1375"/>
      <c s="2267" t="str">
        <f>IF(TITLE_DATE_PR_CHANGE="",IF(TITLE_DATE_PR="","",TITLE_DATE_PR),TITLE_DATE_PR_CHANGE)</f>
        <v/>
      </c>
      <c s="2267"/>
      <c s="2267"/>
      <c s="2267"/>
      <c s="2267"/>
      <c s="2267"/>
      <c s="2267"/>
      <c s="329"/>
      <c s="2267" t="str">
        <f>IF(TITLE_DATE_PR_CHANGE="",IF(TITLE_DATE_PR="","",TITLE_DATE_PR),TITLE_DATE_PR_CHANGE)</f>
        <v/>
      </c>
      <c s="2267"/>
      <c s="2267"/>
      <c s="2267"/>
      <c s="2267"/>
      <c s="2267"/>
      <c s="2267"/>
      <c s="329"/>
      <c s="329"/>
      <c s="283"/>
      <c s="371"/>
      <c s="371"/>
      <c s="371"/>
      <c s="371"/>
      <c s="371"/>
      <c s="421">
        <v>0</v>
      </c>
    </row>
    <row r="31" spans="1:45" s="1856" customFormat="1" ht="18.75" customHeight="1" hidden="1">
      <c r="A31" s="1371"/>
      <c s="1371"/>
      <c s="1371"/>
      <c s="1371"/>
      <c s="1371"/>
      <c s="1371"/>
      <c s="1371"/>
      <c s="1371"/>
      <c s="1371"/>
      <c s="1371"/>
      <c s="1371"/>
      <c s="1372"/>
      <c s="1371"/>
      <c s="1371"/>
      <c s="1371"/>
      <c r="S31" s="2253" t="s">
        <v>424</v>
      </c>
      <c s="2253"/>
      <c s="1375"/>
      <c s="2254" t="str">
        <f>IF(TITLE_NUMBER_PR_CHANGE="",IF(TITLE_NUMBER_PR="","",TITLE_NUMBER_PR),TITLE_NUMBER_PR_CHANGE)</f>
        <v/>
      </c>
      <c s="2254"/>
      <c s="2254"/>
      <c s="2254"/>
      <c s="2254"/>
      <c s="2254"/>
      <c s="2254"/>
      <c s="329"/>
      <c s="2254" t="str">
        <f>IF(TITLE_NUMBER_PR_CHANGE="",IF(TITLE_NUMBER_PR="","",TITLE_NUMBER_PR),TITLE_NUMBER_PR_CHANGE)</f>
        <v/>
      </c>
      <c s="2254"/>
      <c s="2254"/>
      <c s="2254"/>
      <c s="2254"/>
      <c s="2254"/>
      <c s="2254"/>
      <c s="329"/>
      <c s="329"/>
      <c s="283"/>
      <c s="371"/>
      <c s="371"/>
      <c s="371"/>
      <c s="371"/>
      <c s="371"/>
      <c s="421">
        <v>0</v>
      </c>
    </row>
    <row r="32" spans="1:45" s="1856" customFormat="1" ht="18.75" customHeight="1" hidden="1">
      <c r="A32" s="1371"/>
      <c s="1371"/>
      <c s="1371"/>
      <c s="1371"/>
      <c s="1371"/>
      <c s="1371"/>
      <c s="1371"/>
      <c s="1371"/>
      <c s="1371"/>
      <c s="1371"/>
      <c s="1371"/>
      <c s="1372"/>
      <c s="1371"/>
      <c s="1371"/>
      <c s="1371"/>
      <c r="S32" s="2253" t="s">
        <v>43</v>
      </c>
      <c s="2253"/>
      <c s="1375"/>
      <c s="2254" t="str">
        <f>IF(TITLE_IST_PUB_CHANGE="",IF(TITLE_IST_PUB="","",TITLE_IST_PUB),TITLE_IST_PUB_CHANGE)</f>
        <v/>
      </c>
      <c s="2254"/>
      <c s="2254"/>
      <c s="2254"/>
      <c s="2254"/>
      <c s="2254"/>
      <c s="2254"/>
      <c s="329"/>
      <c s="2254" t="str">
        <f>IF(TITLE_IST_PUB_CHANGE="",IF(TITLE_IST_PUB="","",TITLE_IST_PUB),TITLE_IST_PUB_CHANGE)</f>
        <v/>
      </c>
      <c s="2254"/>
      <c s="2254"/>
      <c s="2254"/>
      <c s="2254"/>
      <c s="2254"/>
      <c s="2254"/>
      <c s="329"/>
      <c s="329"/>
      <c s="283"/>
      <c s="371"/>
      <c s="371"/>
      <c s="371"/>
      <c s="371"/>
      <c s="371"/>
      <c s="421">
        <v>0</v>
      </c>
    </row>
    <row r="33" spans="17:45" ht="14.25" customHeight="1" hidden="1">
      <c r="Q33" s="379"/>
      <c s="379"/>
      <c s="1278"/>
      <c s="366"/>
      <c s="366"/>
      <c s="325"/>
      <c s="325"/>
      <c s="325"/>
      <c s="325"/>
      <c s="325"/>
      <c s="325"/>
      <c s="325"/>
      <c s="325"/>
      <c s="325"/>
      <c s="325"/>
      <c s="325"/>
      <c s="325"/>
      <c s="325"/>
      <c s="325"/>
      <c s="325"/>
      <c s="325"/>
      <c s="512"/>
      <c r="AS33" s="1158">
        <v>0</v>
      </c>
    </row>
    <row r="34" spans="1:45" s="1856" customFormat="1" ht="18.75" customHeight="1" hidden="1">
      <c r="A34" s="1371"/>
      <c s="1371"/>
      <c s="1371"/>
      <c s="1371"/>
      <c s="1371"/>
      <c s="1371"/>
      <c s="1371"/>
      <c s="1371"/>
      <c s="1371"/>
      <c s="1371"/>
      <c s="1371"/>
      <c s="1372"/>
      <c s="1371"/>
      <c s="1371"/>
      <c s="1371"/>
      <c r="S34" s="2253" t="s">
        <v>425</v>
      </c>
      <c s="2253"/>
      <c s="1375"/>
      <c s="2267" t="str">
        <f>IF(TITLE_DATE_PR_CHANGE="",IF(TITLE_DATE_PR="","",TITLE_DATE_PR),TITLE_DATE_PR_CHANGE)</f>
        <v/>
      </c>
      <c s="2267"/>
      <c s="2267"/>
      <c s="2267"/>
      <c s="2267"/>
      <c s="2267"/>
      <c s="2267"/>
      <c s="329"/>
      <c s="2267" t="str">
        <f>IF(TITLE_DATE_PR_CHANGE="",IF(TITLE_DATE_PR="","",TITLE_DATE_PR),TITLE_DATE_PR_CHANGE)</f>
        <v/>
      </c>
      <c s="2267"/>
      <c s="2267"/>
      <c s="2267"/>
      <c s="2267"/>
      <c s="2267"/>
      <c s="2267"/>
      <c s="329"/>
      <c s="329"/>
      <c s="283"/>
      <c s="371"/>
      <c s="371"/>
      <c s="371"/>
      <c s="371"/>
      <c s="371"/>
      <c s="421">
        <v>0</v>
      </c>
    </row>
    <row r="35" spans="1:45" s="1856" customFormat="1" ht="18.75" customHeight="1" hidden="1">
      <c r="A35" s="1371"/>
      <c s="1371"/>
      <c s="1371"/>
      <c s="1371"/>
      <c s="1371"/>
      <c s="1371"/>
      <c s="1371"/>
      <c s="1371"/>
      <c s="1371"/>
      <c s="1371"/>
      <c s="1371"/>
      <c s="1372"/>
      <c s="1371"/>
      <c s="1371"/>
      <c s="1371"/>
      <c r="S35" s="2253" t="s">
        <v>426</v>
      </c>
      <c s="2253"/>
      <c s="1375"/>
      <c s="2254" t="str">
        <f>IF(TITLE_NUMBER_PR_CHANGE="",IF(TITLE_NUMBER_PR="","",TITLE_NUMBER_PR),TITLE_NUMBER_PR_CHANGE)</f>
        <v/>
      </c>
      <c s="2254"/>
      <c s="2254"/>
      <c s="2254"/>
      <c s="2254"/>
      <c s="2254"/>
      <c s="2254"/>
      <c s="329"/>
      <c s="2254" t="str">
        <f>IF(TITLE_NUMBER_PR_CHANGE="",IF(TITLE_NUMBER_PR="","",TITLE_NUMBER_PR),TITLE_NUMBER_PR_CHANGE)</f>
        <v/>
      </c>
      <c s="2254"/>
      <c s="2254"/>
      <c s="2254"/>
      <c s="2254"/>
      <c s="2254"/>
      <c s="2254"/>
      <c s="329"/>
      <c s="329"/>
      <c s="283"/>
      <c s="371"/>
      <c s="371"/>
      <c s="371"/>
      <c s="371"/>
      <c s="371"/>
      <c s="421">
        <v>0</v>
      </c>
    </row>
    <row r="36" spans="1:45" s="1856" customFormat="1" ht="0" customHeight="1">
      <c r="A36" s="1371"/>
      <c s="1371"/>
      <c s="1371"/>
      <c s="1371"/>
      <c s="1371"/>
      <c s="1371"/>
      <c s="1371"/>
      <c s="1371"/>
      <c s="1371"/>
      <c s="1371"/>
      <c s="1371"/>
      <c s="1372"/>
      <c s="1371"/>
      <c s="1371"/>
      <c s="1371"/>
      <c r="S36" s="326"/>
      <c s="326"/>
      <c s="1343"/>
      <c s="329"/>
      <c s="329"/>
      <c s="329"/>
      <c s="329"/>
      <c s="329"/>
      <c s="329"/>
      <c s="329"/>
      <c s="281" t="s">
        <v>427</v>
      </c>
      <c s="329"/>
      <c s="329"/>
      <c s="329"/>
      <c s="329"/>
      <c s="329"/>
      <c s="329"/>
      <c s="329"/>
      <c s="281" t="s">
        <v>427</v>
      </c>
      <c r="AN36" s="371"/>
      <c s="371"/>
      <c s="371"/>
      <c s="371"/>
      <c s="371"/>
      <c s="421">
        <v>0</v>
      </c>
    </row>
    <row r="37" spans="17:45" ht="14.7" customHeight="1">
      <c r="Q37" s="379"/>
      <c s="379"/>
      <c s="1278"/>
      <c s="366"/>
      <c s="1247"/>
      <c s="2255"/>
      <c s="2255"/>
      <c s="2255"/>
      <c s="2255"/>
      <c s="2255"/>
      <c s="2255"/>
      <c s="2255"/>
      <c s="2255"/>
      <c s="2255"/>
      <c s="2255"/>
      <c s="2255"/>
      <c s="2255"/>
      <c s="2255"/>
      <c s="2255"/>
      <c s="2255"/>
      <c s="2255"/>
      <c r="AS37" s="1158">
        <v>14</v>
      </c>
    </row>
    <row r="38" spans="17:45" ht="14.7" customHeight="1">
      <c r="Q38" s="379"/>
      <c s="379"/>
      <c s="2130" t="s">
        <v>300</v>
      </c>
      <c s="2130"/>
      <c s="2130"/>
      <c s="2130"/>
      <c s="2130"/>
      <c s="2130"/>
      <c s="2130"/>
      <c s="2130"/>
      <c s="2130"/>
      <c s="2130"/>
      <c s="2130"/>
      <c s="2130"/>
      <c s="2130"/>
      <c s="2130"/>
      <c s="2130"/>
      <c s="2130"/>
      <c s="2130"/>
      <c s="2130"/>
      <c s="2130"/>
      <c s="2130"/>
      <c s="2130" t="s">
        <v>301</v>
      </c>
      <c r="AS38" s="1158">
        <v>14</v>
      </c>
    </row>
    <row r="39" spans="17:45" ht="14.7" customHeight="1">
      <c r="Q39" s="379"/>
      <c s="379"/>
      <c s="2276" t="s">
        <v>87</v>
      </c>
      <c s="2212" t="s">
        <v>428</v>
      </c>
      <c s="304"/>
      <c s="2277" t="s">
        <v>429</v>
      </c>
      <c s="2278"/>
      <c s="2278"/>
      <c s="2278"/>
      <c s="2278"/>
      <c s="2278"/>
      <c s="2279"/>
      <c s="2280" t="s">
        <v>430</v>
      </c>
      <c s="2277" t="s">
        <v>429</v>
      </c>
      <c s="2278"/>
      <c s="2278"/>
      <c s="2278"/>
      <c s="2278"/>
      <c s="2278"/>
      <c s="2279"/>
      <c s="2280" t="s">
        <v>431</v>
      </c>
      <c s="2283" t="s">
        <v>432</v>
      </c>
      <c s="2130"/>
      <c r="AS39" s="1158">
        <v>14</v>
      </c>
    </row>
    <row r="40" spans="17:45" ht="35.7" customHeight="1">
      <c r="Q40" s="379"/>
      <c s="379"/>
      <c s="2276"/>
      <c s="2212"/>
      <c s="1034"/>
      <c s="2263" t="s">
        <v>433</v>
      </c>
      <c s="2286"/>
      <c s="2265" t="s">
        <v>435</v>
      </c>
      <c s="2266"/>
      <c s="2265" t="s">
        <v>436</v>
      </c>
      <c s="2272"/>
      <c s="2266"/>
      <c s="2281"/>
      <c s="2263" t="s">
        <v>450</v>
      </c>
      <c s="2286"/>
      <c s="2265" t="s">
        <v>435</v>
      </c>
      <c s="2266"/>
      <c s="2265" t="s">
        <v>436</v>
      </c>
      <c s="2272"/>
      <c s="2266"/>
      <c s="2281"/>
      <c s="2284"/>
      <c s="2130"/>
      <c r="AS40" s="1158">
        <v>34</v>
      </c>
    </row>
    <row r="41" spans="1:45" ht="35.7" customHeight="1">
      <c r="A41" s="1373"/>
      <c s="1373" t="s">
        <v>137</v>
      </c>
      <c s="1373" t="s">
        <v>138</v>
      </c>
      <c s="1373" t="s">
        <v>139</v>
      </c>
      <c s="1367" t="s">
        <v>437</v>
      </c>
      <c s="1367" t="s">
        <v>438</v>
      </c>
      <c s="1367" t="s">
        <v>439</v>
      </c>
      <c s="1367" t="s">
        <v>440</v>
      </c>
      <c s="1367" t="s">
        <v>441</v>
      </c>
      <c s="1367" t="s">
        <v>442</v>
      </c>
      <c s="1367" t="s">
        <v>443</v>
      </c>
      <c s="1367" t="s">
        <v>418</v>
      </c>
      <c r="Q41" s="379"/>
      <c s="379"/>
      <c s="2276"/>
      <c s="2212"/>
      <c s="305"/>
      <c s="2264"/>
      <c s="2287"/>
      <c s="1225" t="s">
        <v>444</v>
      </c>
      <c s="1225" t="s">
        <v>445</v>
      </c>
      <c s="1341" t="s">
        <v>446</v>
      </c>
      <c s="2273" t="s">
        <v>447</v>
      </c>
      <c s="2274"/>
      <c s="2282"/>
      <c s="2264"/>
      <c s="2287"/>
      <c s="1225" t="s">
        <v>444</v>
      </c>
      <c s="1225" t="s">
        <v>445</v>
      </c>
      <c s="1341" t="s">
        <v>446</v>
      </c>
      <c s="2273" t="s">
        <v>447</v>
      </c>
      <c s="2274"/>
      <c s="2282"/>
      <c s="2285"/>
      <c s="2130"/>
      <c r="AS41" s="1158">
        <v>34</v>
      </c>
    </row>
    <row r="42" spans="1:45" s="1644" customFormat="1" ht="11.25" customHeight="1" hidden="1">
      <c r="A42" s="1373"/>
      <c s="1373"/>
      <c s="1373"/>
      <c s="1373"/>
      <c s="1373"/>
      <c s="1373"/>
      <c s="1373"/>
      <c s="1373"/>
      <c s="1373"/>
      <c s="1373"/>
      <c s="1373"/>
      <c s="1367"/>
      <c s="1365"/>
      <c s="1365"/>
      <c s="1365"/>
      <c s="1249"/>
      <c s="1250"/>
      <c s="1257">
        <v>1</v>
      </c>
      <c s="1280" t="s">
        <v>109</v>
      </c>
      <c s="1258" t="s">
        <v>110</v>
      </c>
      <c s="1248" t="str">
        <f ca="1">OFFSET(U42,0,-1)</f>
        <v>2</v>
      </c>
      <c s="1338">
        <f ca="1">OFFSET(V42,0,-1)+1</f>
        <v>3</v>
      </c>
      <c s="1338"/>
      <c s="1338">
        <f ca="1">OFFSET(X42,0,-1)+1</f>
        <v>1</v>
      </c>
      <c s="1338">
        <f ca="1">OFFSET(Y42,0,-1)+1</f>
        <v>2</v>
      </c>
      <c s="1338">
        <f ca="1">OFFSET(Z42,0,-1)+1</f>
        <v>3</v>
      </c>
      <c s="2275">
        <f ca="1">OFFSET(AA42,0,-1)+1</f>
        <v>4</v>
      </c>
      <c s="2275"/>
      <c s="1338">
        <f ca="1">OFFSET(AC42,0,-2)+1</f>
        <v>5</v>
      </c>
      <c s="1338">
        <f ca="1">OFFSET(AD42,0,-1)+1</f>
        <v>6</v>
      </c>
      <c s="1338"/>
      <c s="1338">
        <f ca="1">OFFSET(AF42,0,-1)+1</f>
        <v>1</v>
      </c>
      <c s="1338">
        <f ca="1">OFFSET(AG42,0,-1)+1</f>
        <v>2</v>
      </c>
      <c s="1338">
        <f ca="1">OFFSET(AH42,0,-1)+1</f>
        <v>3</v>
      </c>
      <c s="2275">
        <f ca="1">OFFSET(AI42,0,-1)+1</f>
        <v>4</v>
      </c>
      <c s="2275"/>
      <c s="1338">
        <f ca="1">OFFSET(AK42,0,-2)+1</f>
        <v>5</v>
      </c>
      <c s="1248">
        <f ca="1">OFFSET(AL42,0,-1)</f>
        <v>5</v>
      </c>
      <c s="1338">
        <f ca="1">OFFSET(AM42,0,-1)+1</f>
        <v>6</v>
      </c>
      <c s="514"/>
      <c s="514"/>
      <c s="514"/>
      <c s="514"/>
      <c s="514"/>
      <c s="499">
        <v>0</v>
      </c>
    </row>
    <row r="43" spans="1:45" ht="22.05" customHeight="1">
      <c r="A43" s="1366" t="s">
        <v>170</v>
      </c>
      <c s="1366"/>
      <c s="1366"/>
      <c s="1366"/>
      <c s="2261">
        <v>1</v>
      </c>
      <c s="1366"/>
      <c s="1366"/>
      <c s="1366"/>
      <c s="1366"/>
      <c s="1366"/>
      <c s="1366"/>
      <c s="1367"/>
      <c s="1368"/>
      <c s="1368"/>
      <c s="1368"/>
      <c s="364"/>
      <c s="363"/>
      <c s="358"/>
      <c s="1339">
        <f>INDEX(PT_DIFFERENTIATION_NUM_NTAR,MATCH(A43,PT_DIFFERENTIATION_NTAR_ID,0))</f>
        <v>0</v>
      </c>
      <c s="301" t="s">
        <v>125</v>
      </c>
      <c s="303"/>
      <c s="2245"/>
      <c s="2246"/>
      <c s="2246"/>
      <c s="2246"/>
      <c s="2246"/>
      <c s="2246"/>
      <c s="2246"/>
      <c s="2247"/>
      <c s="2245" t="str">
        <f>INDEX(PT_DIFFERENTIATION_NTAR,MATCH(A43,PT_DIFFERENTIATION_NTAR_ID,0))</f>
        <v/>
      </c>
      <c s="2246"/>
      <c s="2246"/>
      <c s="2246"/>
      <c s="2246"/>
      <c s="2246"/>
      <c s="2246"/>
      <c s="2246"/>
      <c s="2247"/>
      <c s="1261"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3"/>
      <c s="503" t="str">
        <f>IF(T43="","",T43)</f>
        <v>Наименование тарифа</v>
      </c>
      <c s="503"/>
      <c s="503"/>
      <c s="1158">
        <v>21</v>
      </c>
    </row>
    <row r="44" spans="1:45" ht="22.05" customHeight="1">
      <c r="A44" s="1366" t="s">
        <v>170</v>
      </c>
      <c s="1366" t="s">
        <v>171</v>
      </c>
      <c s="1366"/>
      <c s="1366"/>
      <c s="2262"/>
      <c s="2261">
        <v>1</v>
      </c>
      <c s="1366"/>
      <c s="1366"/>
      <c s="1366"/>
      <c s="1366"/>
      <c s="1366"/>
      <c s="1367"/>
      <c s="1368"/>
      <c s="1368"/>
      <c s="1368"/>
      <c s="1335"/>
      <c s="355"/>
      <c s="356"/>
      <c s="1339" t="str">
        <f>INDEX(PT_DIFFERENTIATION_NUM_TER,MATCH(B44,PT_DIFFERENTIATION_TER_ID,0))</f>
        <v>.</v>
      </c>
      <c s="311" t="s">
        <v>397</v>
      </c>
      <c s="303"/>
      <c s="2245"/>
      <c s="2246"/>
      <c s="2246"/>
      <c s="2246"/>
      <c s="2246"/>
      <c s="2246"/>
      <c s="2246"/>
      <c s="2247"/>
      <c s="2245" t="str">
        <f>INDEX(PT_DIFFERENTIATION_TER,MATCH(B44,PT_DIFFERENTIATION_TER_ID,0))</f>
        <v/>
      </c>
      <c s="2246"/>
      <c s="2246"/>
      <c s="2246"/>
      <c s="2246"/>
      <c s="2246"/>
      <c s="2246"/>
      <c s="2246"/>
      <c s="2247"/>
      <c s="1261" t="s">
        <v>398</v>
      </c>
      <c r="AO44" s="503"/>
      <c s="503" t="str">
        <f>IF(T44="","",T44)</f>
        <v>Территория действия тарифа</v>
      </c>
      <c s="503"/>
      <c s="503"/>
      <c s="1158">
        <v>21</v>
      </c>
    </row>
    <row r="45" spans="1:45" ht="24" customHeight="1">
      <c r="A45" s="1366" t="s">
        <v>170</v>
      </c>
      <c s="1366" t="s">
        <v>171</v>
      </c>
      <c s="1366" t="s">
        <v>172</v>
      </c>
      <c s="1366"/>
      <c s="2262"/>
      <c s="2262"/>
      <c s="2261">
        <v>1</v>
      </c>
      <c s="1366"/>
      <c s="1366"/>
      <c s="1366"/>
      <c s="1366"/>
      <c s="1367"/>
      <c s="1368"/>
      <c s="1368"/>
      <c s="1368"/>
      <c s="357"/>
      <c s="355"/>
      <c s="356"/>
      <c s="1339" t="str">
        <f>INDEX(PT_DIFFERENTIATION_NUM_CS,MATCH(C45,PT_DIFFERENTIATION_CS_ID,0))</f>
        <v>..</v>
      </c>
      <c s="312" t="s">
        <v>399</v>
      </c>
      <c s="303"/>
      <c s="2245"/>
      <c s="2246"/>
      <c s="2246"/>
      <c s="2246"/>
      <c s="2246"/>
      <c s="2246"/>
      <c s="2246"/>
      <c s="2247"/>
      <c s="2245" t="str">
        <f>INDEX(PT_DIFFERENTIATION_CS,MATCH(C45,PT_DIFFERENTIATION_CS_ID,0))</f>
        <v/>
      </c>
      <c s="2246"/>
      <c s="2246"/>
      <c s="2246"/>
      <c s="2246"/>
      <c s="2246"/>
      <c s="2246"/>
      <c s="2246"/>
      <c s="2247"/>
      <c s="1261" t="s">
        <v>400</v>
      </c>
      <c r="AO45" s="503"/>
      <c s="503" t="str">
        <f>IF(T45="","",T45)</f>
        <v>Наименование системы теплоснабжения</v>
      </c>
      <c s="503"/>
      <c s="503"/>
      <c s="1158">
        <v>23</v>
      </c>
    </row>
    <row r="46" spans="1:45" ht="22.05" customHeight="1">
      <c r="A46" s="1366" t="s">
        <v>170</v>
      </c>
      <c s="1366" t="s">
        <v>171</v>
      </c>
      <c s="1366" t="s">
        <v>172</v>
      </c>
      <c s="1366" t="s">
        <v>173</v>
      </c>
      <c s="2262"/>
      <c s="2262"/>
      <c s="2262"/>
      <c s="2261">
        <v>1</v>
      </c>
      <c s="1366"/>
      <c s="1366"/>
      <c s="1366"/>
      <c s="1367"/>
      <c s="1368"/>
      <c s="1368"/>
      <c s="1368"/>
      <c s="357"/>
      <c s="355"/>
      <c s="356"/>
      <c s="1339" t="str">
        <f>INDEX(PT_DIFFERENTIATION_NUM_IST_TE,MATCH(D46,PT_DIFFERENTIATION_IST_TE_ID,0))</f>
        <v>...</v>
      </c>
      <c s="313" t="s">
        <v>401</v>
      </c>
      <c s="303"/>
      <c s="2245"/>
      <c s="2246"/>
      <c s="2246"/>
      <c s="2246"/>
      <c s="2246"/>
      <c s="2246"/>
      <c s="2246"/>
      <c s="2247"/>
      <c s="2245" t="str">
        <f>INDEX(PT_DIFFERENTIATION_IST_TE,MATCH(D46,PT_DIFFERENTIATION_IST_TE_ID,0))</f>
        <v/>
      </c>
      <c s="2246"/>
      <c s="2246"/>
      <c s="2246"/>
      <c s="2246"/>
      <c s="2246"/>
      <c s="2246"/>
      <c s="2246"/>
      <c s="2247"/>
      <c s="1261" t="s">
        <v>402</v>
      </c>
      <c r="AO46" s="503"/>
      <c s="503" t="str">
        <f>IF(T46="","",T46)</f>
        <v>Источник тепловой энергии</v>
      </c>
      <c s="503"/>
      <c s="503"/>
      <c s="1158">
        <v>21</v>
      </c>
    </row>
    <row r="47" spans="1:45" s="1645" customFormat="1" ht="0" customHeight="1">
      <c r="A47" s="1346" t="s">
        <v>170</v>
      </c>
      <c s="1346" t="s">
        <v>171</v>
      </c>
      <c s="1346" t="s">
        <v>172</v>
      </c>
      <c s="1346" t="s">
        <v>173</v>
      </c>
      <c s="2262"/>
      <c s="2262"/>
      <c s="2262"/>
      <c s="2262"/>
      <c s="2259" t="str">
        <f>S46&amp;".1"</f>
        <v>....1</v>
      </c>
      <c s="1346"/>
      <c s="1346"/>
      <c s="1349" t="s">
        <v>403</v>
      </c>
      <c s="513"/>
      <c s="513"/>
      <c s="513"/>
      <c s="2260">
        <v>1</v>
      </c>
      <c s="1334"/>
      <c s="359"/>
      <c s="1045"/>
      <c s="1386"/>
      <c s="1387"/>
      <c s="2299"/>
      <c s="2300"/>
      <c s="2300"/>
      <c s="2300"/>
      <c s="2300"/>
      <c s="2300"/>
      <c s="2300"/>
      <c s="2301"/>
      <c s="2299"/>
      <c s="2300"/>
      <c s="2300"/>
      <c s="2300"/>
      <c s="2300"/>
      <c s="2300"/>
      <c s="2300"/>
      <c s="2300"/>
      <c s="2301"/>
      <c s="1388"/>
      <c r="AO47" s="503"/>
      <c s="503" t="str">
        <f>IF(T47="","",T47)</f>
        <v/>
      </c>
      <c s="503"/>
      <c s="503"/>
      <c s="514">
        <v>0</v>
      </c>
    </row>
    <row r="48" spans="1:45" ht="22.05" customHeight="1">
      <c r="A48" s="1366" t="s">
        <v>170</v>
      </c>
      <c s="1366" t="s">
        <v>171</v>
      </c>
      <c s="1366" t="s">
        <v>172</v>
      </c>
      <c s="1366" t="s">
        <v>173</v>
      </c>
      <c s="2262"/>
      <c s="2262"/>
      <c s="2262"/>
      <c s="2262"/>
      <c s="2289"/>
      <c s="2259" t="str">
        <f>S46&amp;".1"</f>
        <v>....1</v>
      </c>
      <c s="1366"/>
      <c s="1367" t="s">
        <v>406</v>
      </c>
      <c r="P48" s="2260"/>
      <c s="2260">
        <v>1</v>
      </c>
      <c s="360"/>
      <c s="1339" t="str">
        <f>$J48</f>
        <v>....1</v>
      </c>
      <c s="289" t="s">
        <v>407</v>
      </c>
      <c s="303"/>
      <c s="2248"/>
      <c s="2249"/>
      <c s="2249"/>
      <c s="2249"/>
      <c s="2249"/>
      <c s="2249"/>
      <c s="2249"/>
      <c s="2250"/>
      <c s="2248"/>
      <c s="2249"/>
      <c s="2249"/>
      <c s="2249"/>
      <c s="2249"/>
      <c s="2249"/>
      <c s="2249"/>
      <c s="2249"/>
      <c s="2250"/>
      <c s="1261" t="s">
        <v>408</v>
      </c>
      <c r="AO48" s="503"/>
      <c s="503" t="str">
        <f>IF(T48="","",T48)</f>
        <v>Группа потребителей</v>
      </c>
      <c s="503"/>
      <c s="503"/>
      <c s="1158">
        <v>21</v>
      </c>
    </row>
    <row r="49" spans="1:45" ht="22.05" customHeight="1">
      <c r="A49" s="1366" t="s">
        <v>170</v>
      </c>
      <c s="1366" t="s">
        <v>171</v>
      </c>
      <c s="1366" t="s">
        <v>172</v>
      </c>
      <c s="1366" t="s">
        <v>173</v>
      </c>
      <c s="2262"/>
      <c s="2262"/>
      <c s="2262"/>
      <c s="2262"/>
      <c s="2289"/>
      <c s="2289"/>
      <c s="2259" t="str">
        <f>J48&amp;".1"</f>
        <v>....1.1</v>
      </c>
      <c s="1367" t="s">
        <v>409</v>
      </c>
      <c r="P49" s="2260"/>
      <c s="2260"/>
      <c s="360">
        <v>1</v>
      </c>
      <c s="1339" t="str">
        <f>$K49</f>
        <v>....1.1</v>
      </c>
      <c s="1350"/>
      <c s="303"/>
      <c s="754"/>
      <c s="328"/>
      <c s="754"/>
      <c s="1260"/>
      <c s="2268"/>
      <c s="2110" t="s">
        <v>65</v>
      </c>
      <c s="2268"/>
      <c s="2110" t="s">
        <v>65</v>
      </c>
      <c s="754"/>
      <c s="328"/>
      <c s="754"/>
      <c s="1260"/>
      <c s="2268"/>
      <c s="2110" t="s">
        <v>65</v>
      </c>
      <c s="2290"/>
      <c s="2110" t="s">
        <v>65</v>
      </c>
      <c s="1351"/>
      <c s="2256" t="s">
        <v>451</v>
      </c>
      <c s="514">
        <f>STRCHECKDATE(V50:AL50)</f>
      </c>
      <c s="503"/>
      <c s="503" t="str">
        <f>IF(T49="","",T49)</f>
        <v/>
      </c>
      <c s="503"/>
      <c s="503"/>
      <c s="1158">
        <v>21</v>
      </c>
    </row>
    <row r="50" spans="1:45" ht="1.05" customHeight="1">
      <c r="A50" s="1366" t="s">
        <v>170</v>
      </c>
      <c s="1366" t="s">
        <v>171</v>
      </c>
      <c s="1366" t="s">
        <v>172</v>
      </c>
      <c s="1366" t="s">
        <v>173</v>
      </c>
      <c s="2262"/>
      <c s="2262"/>
      <c s="2262"/>
      <c s="2262"/>
      <c s="2289"/>
      <c s="2289"/>
      <c s="2259"/>
      <c s="1367"/>
      <c r="P50" s="2260"/>
      <c s="2260"/>
      <c s="360"/>
      <c s="1345"/>
      <c s="303"/>
      <c s="303"/>
      <c s="328"/>
      <c s="328"/>
      <c s="328"/>
      <c s="331" t="str">
        <f>Z49&amp;"-"&amp;AB49</f>
        <v>-</v>
      </c>
      <c s="2269"/>
      <c s="2110"/>
      <c s="2269"/>
      <c s="2110"/>
      <c s="328"/>
      <c s="328"/>
      <c s="328"/>
      <c s="331" t="str">
        <f>AH49&amp;"-"&amp;AJ49</f>
        <v>-</v>
      </c>
      <c s="2269"/>
      <c s="2110"/>
      <c s="2291"/>
      <c s="2110"/>
      <c s="1352"/>
      <c s="2257"/>
      <c r="AO50" s="503"/>
      <c s="503" t="str">
        <f>IF(T50="","",T50)</f>
        <v/>
      </c>
      <c s="503"/>
      <c s="503"/>
      <c s="1158">
        <v>1</v>
      </c>
    </row>
    <row r="51" spans="1:45" ht="11.55" customHeight="1">
      <c r="A51" s="1366" t="s">
        <v>170</v>
      </c>
      <c s="1366" t="s">
        <v>171</v>
      </c>
      <c s="1366" t="s">
        <v>172</v>
      </c>
      <c s="1366" t="s">
        <v>173</v>
      </c>
      <c s="2262"/>
      <c s="2262"/>
      <c s="2262"/>
      <c s="2262"/>
      <c s="2289"/>
      <c s="2259"/>
      <c s="1366"/>
      <c s="1367"/>
      <c r="P51" s="2260"/>
      <c s="2260"/>
      <c s="359"/>
      <c s="1281"/>
      <c s="290" t="s">
        <v>411</v>
      </c>
      <c s="370"/>
      <c s="370"/>
      <c s="370"/>
      <c s="370"/>
      <c s="370"/>
      <c s="370"/>
      <c s="370"/>
      <c s="370"/>
      <c s="370"/>
      <c s="370"/>
      <c s="370"/>
      <c s="370"/>
      <c s="370"/>
      <c s="370"/>
      <c s="370"/>
      <c s="370"/>
      <c s="370"/>
      <c s="327"/>
      <c s="2258"/>
      <c r="AO51" s="503"/>
      <c s="503" t="str">
        <f>IF(T51="","",T51)</f>
        <v>Добавить вид теплоносителя (параметры теплоносителя)</v>
      </c>
      <c s="503"/>
      <c s="503"/>
      <c s="1158">
        <v>11</v>
      </c>
    </row>
    <row r="52" spans="1:45" ht="11.55" customHeight="1">
      <c r="A52" s="1366" t="s">
        <v>170</v>
      </c>
      <c s="1366" t="s">
        <v>171</v>
      </c>
      <c s="1366" t="s">
        <v>172</v>
      </c>
      <c s="1366" t="s">
        <v>173</v>
      </c>
      <c s="2262"/>
      <c s="2262"/>
      <c s="2262"/>
      <c s="2262"/>
      <c s="2259"/>
      <c s="1366"/>
      <c s="1366"/>
      <c s="1367"/>
      <c r="P52" s="2260"/>
      <c s="1334"/>
      <c s="359"/>
      <c s="1281"/>
      <c s="368" t="s">
        <v>412</v>
      </c>
      <c s="370"/>
      <c s="370"/>
      <c s="370"/>
      <c s="370"/>
      <c s="370"/>
      <c s="370"/>
      <c s="370"/>
      <c s="370"/>
      <c s="369"/>
      <c s="370"/>
      <c s="370"/>
      <c s="370"/>
      <c s="370"/>
      <c s="370"/>
      <c s="370"/>
      <c s="370"/>
      <c s="369"/>
      <c s="370"/>
      <c s="306"/>
      <c r="AO52" s="503"/>
      <c s="503" t="str">
        <f>IF(T52="","",T52)</f>
        <v>Добавить группу потребителей</v>
      </c>
      <c s="503"/>
      <c s="503"/>
      <c s="1158">
        <v>11</v>
      </c>
    </row>
    <row r="53" spans="1:45" ht="0" customHeight="1">
      <c r="A53" s="1366" t="s">
        <v>170</v>
      </c>
      <c s="1366" t="s">
        <v>171</v>
      </c>
      <c s="1366" t="s">
        <v>172</v>
      </c>
      <c s="1366" t="s">
        <v>173</v>
      </c>
      <c s="2262"/>
      <c s="2262"/>
      <c s="2262"/>
      <c s="2261"/>
      <c s="1366"/>
      <c s="1366"/>
      <c s="1366"/>
      <c s="1367"/>
      <c s="1368"/>
      <c s="1368"/>
      <c s="540"/>
      <c s="363"/>
      <c s="378"/>
      <c s="358"/>
      <c s="1389"/>
      <c s="1390"/>
      <c s="1391"/>
      <c s="1391"/>
      <c s="1391"/>
      <c s="1391"/>
      <c s="1391"/>
      <c s="1391"/>
      <c s="1391"/>
      <c s="1391"/>
      <c s="1391"/>
      <c s="1391"/>
      <c s="1391"/>
      <c s="1391"/>
      <c s="1391"/>
      <c s="1391"/>
      <c s="1391"/>
      <c s="1391"/>
      <c s="1391"/>
      <c s="1391"/>
      <c s="1392"/>
      <c r="AO53" s="503"/>
      <c s="503" t="str">
        <f>IF(T53="","",T53)</f>
        <v/>
      </c>
      <c s="503"/>
      <c s="503"/>
      <c s="1158">
        <v>0</v>
      </c>
    </row>
    <row r="54" spans="1:45" s="1645" customFormat="1" ht="1.05" customHeight="1">
      <c r="A54" s="1346" t="s">
        <v>170</v>
      </c>
      <c s="1346" t="s">
        <v>171</v>
      </c>
      <c s="1346" t="s">
        <v>172</v>
      </c>
      <c s="1317"/>
      <c s="2262"/>
      <c s="2262"/>
      <c s="2261"/>
      <c s="1317"/>
      <c s="1317"/>
      <c s="1317"/>
      <c s="1317"/>
      <c s="1342"/>
      <c s="1318"/>
      <c s="1318"/>
      <c r="P54" s="1319"/>
      <c s="1320"/>
      <c s="1319"/>
      <c s="1325"/>
      <c s="1328" t="s">
        <v>414</v>
      </c>
      <c s="1327"/>
      <c s="1327"/>
      <c s="1327"/>
      <c s="1327"/>
      <c s="1327"/>
      <c s="1327"/>
      <c s="1327"/>
      <c s="1327"/>
      <c s="1327"/>
      <c s="1327"/>
      <c s="1327"/>
      <c s="1327"/>
      <c s="1327"/>
      <c s="1327"/>
      <c s="1327"/>
      <c s="1327"/>
      <c s="1327"/>
      <c s="1327"/>
      <c s="1327"/>
      <c r="AO54" s="792"/>
      <c s="792" t="str">
        <f>IF(T54="","",T54)</f>
        <v>Добавить источник для дифференциации</v>
      </c>
      <c s="792"/>
      <c s="792"/>
      <c s="521">
        <v>1</v>
      </c>
    </row>
    <row r="55" spans="1:45" s="1645" customFormat="1" ht="1.05" customHeight="1">
      <c r="A55" s="1346" t="s">
        <v>170</v>
      </c>
      <c s="1346" t="s">
        <v>171</v>
      </c>
      <c s="1317"/>
      <c s="1317"/>
      <c s="2262"/>
      <c s="2261"/>
      <c s="1317"/>
      <c s="1317"/>
      <c s="1317"/>
      <c s="1317"/>
      <c s="1317"/>
      <c s="1342"/>
      <c s="1324"/>
      <c s="1324"/>
      <c r="P55" s="1319"/>
      <c s="1320"/>
      <c s="1319"/>
      <c s="1325"/>
      <c s="1328" t="s">
        <v>415</v>
      </c>
      <c s="1327"/>
      <c s="1327"/>
      <c s="1327"/>
      <c s="1327"/>
      <c s="1327"/>
      <c s="1327"/>
      <c s="1327"/>
      <c s="1327"/>
      <c s="1327"/>
      <c s="1327"/>
      <c s="1327"/>
      <c s="1327"/>
      <c s="1327"/>
      <c s="1327"/>
      <c s="1327"/>
      <c s="1327"/>
      <c s="1327"/>
      <c s="1327"/>
      <c s="1327"/>
      <c r="AO55" s="792"/>
      <c s="792" t="str">
        <f>IF(T55="","",T55)</f>
        <v>Добавить централизованную систему для дифференциации</v>
      </c>
      <c s="792"/>
      <c s="792"/>
      <c s="521">
        <v>1</v>
      </c>
    </row>
    <row r="56" spans="1:45" s="1645" customFormat="1" ht="1.05" customHeight="1">
      <c r="A56" s="1346" t="s">
        <v>170</v>
      </c>
      <c s="1346"/>
      <c s="1346"/>
      <c s="1346"/>
      <c s="2261"/>
      <c s="1346"/>
      <c s="1346"/>
      <c s="1346"/>
      <c s="1346"/>
      <c s="1346"/>
      <c s="1346"/>
      <c s="1349"/>
      <c s="1324"/>
      <c s="1324"/>
      <c s="521"/>
      <c s="383"/>
      <c s="1347"/>
      <c s="383"/>
      <c s="1325"/>
      <c s="1328" t="s">
        <v>416</v>
      </c>
      <c s="1327"/>
      <c s="1327"/>
      <c s="1327"/>
      <c s="1327"/>
      <c s="1327"/>
      <c s="1327"/>
      <c s="1327"/>
      <c s="1327"/>
      <c s="1327"/>
      <c s="1327"/>
      <c s="1327"/>
      <c s="1327"/>
      <c s="1327"/>
      <c s="1327"/>
      <c s="1327"/>
      <c s="1327"/>
      <c s="1327"/>
      <c s="1327"/>
      <c s="1327"/>
      <c r="AO56" s="503"/>
      <c s="503" t="str">
        <f>IF(T56="","",T56)</f>
        <v>Добавить территорию для дифференциации</v>
      </c>
      <c s="503"/>
      <c s="503"/>
      <c s="514">
        <v>1</v>
      </c>
    </row>
    <row r="57" spans="1:45" s="1645" customFormat="1" ht="1.05" customHeight="1">
      <c r="A57" s="1317"/>
      <c s="1317"/>
      <c s="1317"/>
      <c s="1317"/>
      <c s="1346"/>
      <c s="1317"/>
      <c s="1317"/>
      <c s="1317"/>
      <c s="1317"/>
      <c s="1317"/>
      <c s="1317"/>
      <c s="1342"/>
      <c s="1324"/>
      <c s="1324"/>
      <c r="P57" s="1319"/>
      <c s="1320"/>
      <c s="1319"/>
      <c s="1325"/>
      <c s="1328" t="s">
        <v>448</v>
      </c>
      <c s="1327"/>
      <c s="1327"/>
      <c s="1327"/>
      <c s="1327"/>
      <c s="1327"/>
      <c s="1327"/>
      <c s="1327"/>
      <c s="1327"/>
      <c s="1327"/>
      <c s="1327"/>
      <c s="1327"/>
      <c s="1327"/>
      <c s="1327"/>
      <c s="1327"/>
      <c s="1327"/>
      <c s="1327"/>
      <c s="1327"/>
      <c s="1327"/>
      <c s="1327"/>
      <c r="AO57" s="792"/>
      <c s="792" t="str">
        <f>IF(T57="","",T57)</f>
        <v>Добавить наименование тарифа</v>
      </c>
      <c s="792"/>
      <c s="792"/>
      <c s="521">
        <v>1</v>
      </c>
    </row>
    <row r="58" spans="13:45" ht="11.55" customHeight="1">
      <c r="M58" s="1163"/>
      <c s="1163"/>
      <c s="540"/>
      <c s="1158"/>
      <c s="1158"/>
      <c s="1158"/>
      <c s="1158"/>
      <c r="AN58" s="1158"/>
      <c s="1158"/>
      <c s="1158"/>
      <c s="1158"/>
      <c s="1158"/>
      <c s="1158">
        <v>11</v>
      </c>
    </row>
    <row r="59" spans="15:45" ht="19.95" customHeight="1">
      <c r="O59" s="540"/>
      <c r="S59" s="1256"/>
      <c s="2288"/>
      <c s="2288"/>
      <c s="2288"/>
      <c s="2288"/>
      <c s="2288"/>
      <c s="2288"/>
      <c s="2288"/>
      <c s="2288"/>
      <c s="2288"/>
      <c s="2288"/>
      <c s="2288"/>
      <c s="2288"/>
      <c s="2288"/>
      <c s="2288"/>
      <c s="2288"/>
      <c s="2288"/>
      <c s="2288"/>
      <c s="2288"/>
      <c s="2288"/>
      <c s="2288"/>
      <c r="AS59" s="1158">
        <v>19</v>
      </c>
    </row>
    <row r="60" spans="15:45" ht="29.25" customHeight="1">
      <c r="O60" s="540"/>
      <c r="T60" s="2288"/>
      <c s="2288"/>
      <c s="2288"/>
      <c s="2288"/>
      <c s="2288"/>
      <c s="2288"/>
      <c s="2288"/>
      <c s="2288"/>
      <c s="2288"/>
      <c s="2288"/>
      <c s="2288"/>
      <c s="2288"/>
      <c s="2288"/>
      <c s="2288"/>
      <c s="2288"/>
      <c s="2288"/>
      <c s="2288"/>
      <c s="2288"/>
      <c s="2288"/>
      <c s="2288"/>
      <c r="AS60" s="1158">
        <v>28</v>
      </c>
    </row>
    <row r="61" spans="15:45" ht="42" customHeight="1">
      <c r="O61" s="540"/>
      <c r="T61" s="2288"/>
      <c s="2288"/>
      <c s="2288"/>
      <c s="2288"/>
      <c s="2288"/>
      <c s="2288"/>
      <c s="2288"/>
      <c s="2288"/>
      <c s="2288"/>
      <c s="2288"/>
      <c s="2288"/>
      <c s="2288"/>
      <c s="2288"/>
      <c s="2288"/>
      <c s="2288"/>
      <c s="2288"/>
      <c s="2288"/>
      <c s="2288"/>
      <c s="2288"/>
      <c s="2288"/>
      <c r="AS61" s="1158">
        <v>40</v>
      </c>
    </row>
    <row r="62" spans="15:45" ht="14.7" customHeight="1">
      <c r="O62" s="540"/>
      <c r="AS62" s="1158">
        <v>14</v>
      </c>
    </row>
    <row r="63" spans="15:45" ht="21" customHeight="1">
      <c r="O63" s="540"/>
      <c r="S63" s="1256"/>
      <c s="2302"/>
      <c s="2288"/>
      <c s="2288"/>
      <c s="2288"/>
      <c s="2288"/>
      <c s="2288"/>
      <c s="2288"/>
      <c s="2288"/>
      <c s="2288"/>
      <c s="2288"/>
      <c s="2288"/>
      <c s="2288"/>
      <c s="2288"/>
      <c s="2288"/>
      <c s="2288"/>
      <c s="2288"/>
      <c s="2288"/>
      <c s="2288"/>
      <c s="2288"/>
      <c s="2288"/>
      <c r="AS63" s="1158">
        <v>20</v>
      </c>
    </row>
    <row r="64" spans="15:45" ht="29.25" customHeight="1">
      <c r="O64" s="540"/>
      <c r="T64" s="2288"/>
      <c s="2288"/>
      <c s="2288"/>
      <c s="2288"/>
      <c s="2288"/>
      <c s="2288"/>
      <c s="2288"/>
      <c s="2288"/>
      <c s="2288"/>
      <c s="2288"/>
      <c s="2288"/>
      <c s="2288"/>
      <c s="2288"/>
      <c s="2288"/>
      <c s="2288"/>
      <c s="2288"/>
      <c s="2288"/>
      <c s="2288"/>
      <c s="2288"/>
      <c s="2288"/>
      <c r="AS64" s="1158">
        <v>28</v>
      </c>
    </row>
    <row r="65" spans="20:45" ht="35.7" customHeight="1">
      <c r="T65" s="2288"/>
      <c s="2288"/>
      <c s="2288"/>
      <c s="2288"/>
      <c s="2288"/>
      <c s="2288"/>
      <c s="2288"/>
      <c s="2288"/>
      <c s="2288"/>
      <c s="2288"/>
      <c s="2288"/>
      <c s="2288"/>
      <c s="2288"/>
      <c s="2288"/>
      <c s="2288"/>
      <c s="2288"/>
      <c s="2288"/>
      <c s="2288"/>
      <c s="2288"/>
      <c s="2288"/>
      <c r="AS65" s="1158">
        <v>34</v>
      </c>
    </row>
    <row r="66" spans="1:45" ht="22.5" customHeight="1" hidden="1">
      <c r="A66" s="1163" t="s">
        <v>81</v>
      </c>
      <c s="1163">
        <v>0</v>
      </c>
      <c s="1163">
        <v>0</v>
      </c>
      <c s="1163">
        <v>0</v>
      </c>
      <c s="1163">
        <v>0</v>
      </c>
      <c s="1163">
        <v>0</v>
      </c>
      <c s="1163">
        <v>0</v>
      </c>
      <c s="1163">
        <v>0</v>
      </c>
      <c s="1163">
        <v>0</v>
      </c>
      <c s="1163">
        <v>0</v>
      </c>
      <c s="1163">
        <v>0</v>
      </c>
      <c s="1332">
        <v>0</v>
      </c>
      <c s="1365">
        <v>0</v>
      </c>
      <c s="1365">
        <v>0</v>
      </c>
      <c s="1365">
        <v>0</v>
      </c>
      <c s="1331">
        <v>0</v>
      </c>
      <c s="347">
        <v>3</v>
      </c>
      <c s="347">
        <v>3</v>
      </c>
      <c s="584">
        <v>12</v>
      </c>
      <c s="1158">
        <v>31</v>
      </c>
      <c s="1158">
        <v>0</v>
      </c>
      <c s="1158">
        <v>0</v>
      </c>
      <c s="1158">
        <v>0</v>
      </c>
      <c s="1158">
        <v>0</v>
      </c>
      <c s="1158">
        <v>0</v>
      </c>
      <c s="1158">
        <v>0</v>
      </c>
      <c s="1158">
        <v>0</v>
      </c>
      <c s="1158">
        <v>0</v>
      </c>
      <c s="1158">
        <v>0</v>
      </c>
      <c s="1158">
        <v>24</v>
      </c>
      <c s="1158">
        <v>0</v>
      </c>
      <c s="1158">
        <v>24</v>
      </c>
      <c s="1158">
        <v>24</v>
      </c>
      <c s="1158">
        <v>11</v>
      </c>
      <c s="1158">
        <v>3</v>
      </c>
      <c s="1158">
        <v>11</v>
      </c>
      <c s="1158">
        <v>0</v>
      </c>
      <c s="1158">
        <v>4</v>
      </c>
      <c s="1158">
        <v>115</v>
      </c>
      <c s="514">
        <v>10</v>
      </c>
      <c s="514">
        <v>10</v>
      </c>
      <c s="514">
        <v>10</v>
      </c>
      <c s="514">
        <v>10</v>
      </c>
      <c s="514">
        <v>10</v>
      </c>
      <c s="1158">
        <v>23</v>
      </c>
    </row>
  </sheetData>
  <sheetProtection formatColumns="0" formatRows="0" insertRows="0" deleteColumns="0" deleteRows="0" sort="0" autoFilter="0"/>
  <mergeCells count="113">
    <mergeCell ref="T64:AM64"/>
    <mergeCell ref="T65:AM65"/>
    <mergeCell ref="S35:T35"/>
    <mergeCell ref="V35:AB35"/>
    <mergeCell ref="AD35:AJ35"/>
    <mergeCell ref="S34:T34"/>
    <mergeCell ref="V34:AB34"/>
    <mergeCell ref="AD34:AJ34"/>
    <mergeCell ref="V2:AC2"/>
    <mergeCell ref="AD2:AL2"/>
    <mergeCell ref="V3:AC3"/>
    <mergeCell ref="AD3:AL3"/>
    <mergeCell ref="V4:AC4"/>
    <mergeCell ref="AD4:AL4"/>
    <mergeCell ref="V5:AC5"/>
    <mergeCell ref="AD5:AL5"/>
    <mergeCell ref="V6:AC6"/>
    <mergeCell ref="AD6:AL6"/>
    <mergeCell ref="V7:AC7"/>
    <mergeCell ref="AD7:AL7"/>
    <mergeCell ref="T63:AM63"/>
    <mergeCell ref="T61:AM61"/>
    <mergeCell ref="AJ49:AJ50"/>
    <mergeCell ref="AK49:AK50"/>
    <mergeCell ref="AM49:AM51"/>
    <mergeCell ref="T59:AM59"/>
    <mergeCell ref="T60:AM60"/>
    <mergeCell ref="AA42:AB42"/>
    <mergeCell ref="AI42:AJ42"/>
    <mergeCell ref="E43:E56"/>
    <mergeCell ref="V43:AC43"/>
    <mergeCell ref="AD43:AL43"/>
    <mergeCell ref="F44:F55"/>
    <mergeCell ref="V44:AC44"/>
    <mergeCell ref="AD44:AL44"/>
    <mergeCell ref="G45:G54"/>
    <mergeCell ref="V45:AC45"/>
    <mergeCell ref="AD45:AL45"/>
    <mergeCell ref="H46:H53"/>
    <mergeCell ref="V46:AC46"/>
    <mergeCell ref="AD46:AL46"/>
    <mergeCell ref="P47:P52"/>
    <mergeCell ref="J48:J51"/>
    <mergeCell ref="Q48:Q51"/>
    <mergeCell ref="V48:AC48"/>
    <mergeCell ref="AD48:AL48"/>
    <mergeCell ref="K49:K50"/>
    <mergeCell ref="Z49:Z50"/>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M8:AM10"/>
    <mergeCell ref="AH17:AH18"/>
    <mergeCell ref="AI17:AI18"/>
    <mergeCell ref="AJ17:AJ18"/>
    <mergeCell ref="AK17:AK18"/>
    <mergeCell ref="Z8:Z9"/>
    <mergeCell ref="AA8:AA9"/>
    <mergeCell ref="S29:T29"/>
    <mergeCell ref="S30:T30"/>
    <mergeCell ref="V29:AB29"/>
    <mergeCell ref="AD29:AJ29"/>
    <mergeCell ref="V30:AB30"/>
    <mergeCell ref="AD30:AJ30"/>
    <mergeCell ref="AH8:AH9"/>
    <mergeCell ref="AI8:AI9"/>
    <mergeCell ref="AJ8:AJ9"/>
    <mergeCell ref="AK8:AK9"/>
    <mergeCell ref="AB8:AB9"/>
    <mergeCell ref="AC8:AC9"/>
    <mergeCell ref="I47:I52"/>
    <mergeCell ref="V32:AB32"/>
    <mergeCell ref="E2:E15"/>
    <mergeCell ref="F3:F14"/>
    <mergeCell ref="G4:G13"/>
    <mergeCell ref="H5:H12"/>
    <mergeCell ref="I6:I11"/>
    <mergeCell ref="P6:P11"/>
    <mergeCell ref="J7:J10"/>
    <mergeCell ref="Q7:Q10"/>
    <mergeCell ref="K8:K9"/>
    <mergeCell ref="S31:T31"/>
    <mergeCell ref="V31:AB31"/>
    <mergeCell ref="S32:T32"/>
    <mergeCell ref="AA41:AB41"/>
    <mergeCell ref="V37:AC37"/>
    <mergeCell ref="S38:AL38"/>
    <mergeCell ref="S26:AJ26"/>
    <mergeCell ref="S27:AJ27"/>
    <mergeCell ref="AC49:AC50"/>
    <mergeCell ref="AA49:AA50"/>
    <mergeCell ref="AB49:AB50"/>
    <mergeCell ref="AH49:AH50"/>
    <mergeCell ref="AI49:AI50"/>
    <mergeCell ref="V47:AC47"/>
    <mergeCell ref="AD47:AL47"/>
    <mergeCell ref="AD31:AJ31"/>
    <mergeCell ref="AD32:AJ32"/>
    <mergeCell ref="AE40:AE41"/>
    <mergeCell ref="AF40:AG40"/>
    <mergeCell ref="AH40:AJ40"/>
    <mergeCell ref="AI41:AJ41"/>
    <mergeCell ref="AD37:AK37"/>
  </mergeCells>
  <dataValidations count="8">
    <dataValidation allowBlank="1" sqref="S65587:AM65593 S131123:AM131129 S196659:AM196665 S262195:AM262201 S327731:AM327737 S393267:AM393273 S458803:AM458809 S524339:AM524345 S589875:AM589881 S655411:AM655417 S720947:AM720953 S786483:AM786489 S852019:AM852025 S917555:AM917561 S983091:AM983097"/>
    <dataValidation type="list" allowBlank="1" showInputMessage="1" prompt="Выберите значение из списка" errorTitle="Ошибка" error="Выберите значение из списка" sqref="V65584:AL65584 V983088:AL983088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65583:W65583 V983087:W983087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8 Z65585 Z131121 Z196657 Z262193 Z327729 Z393265 Z458801 Z524337 Z589873 Z655409 Z720945 Z786481 Z852017 Z917553 Z983089 AB65585 AB131121 AB196657 AB262193 AB327729 AB393265 AB458801 AB524337 AB589873 AB655409 AB720945 AB786481 AB852017 AB917553 AB983089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8 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I17 AK262193 AA49 AC49 AK327729"/>
    <dataValidation allowBlank="1" promptTitle="checkPeriodRange" sqref="Y9 Y65586 Y131122 Y196658 Y262194 Y327730 Y393266 Y458802 Y524338 Y589874 Y655410 Y720946 Y786482 Y852018 Y917554 Y983090 AG65586 AG131122 AG196658 AG262194 AG327730 AG393266 AG458802 AG524338 AG589874 AG655410 AG720946 AG786482 AG852018 AG917554 AG983090 AG9 AG50 AG18 Y50"/>
  </dataValidations>
  <pageMargins left="0.7" right="0.7" top="0.75" bottom="0.75" header="0.3" footer="0.3"/>
  <pageSetup orientation="portrait"/>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m="http://schemas.microsoft.com/office/excel/2006/main" xmlns:x14ac="http://schemas.microsoft.com/office/spreadsheetml/2009/9/ac" xmlns:xr="http://schemas.microsoft.com/office/spreadsheetml/2014/revision" xmlns:xr2="http://schemas.microsoft.com/office/spreadsheetml/2015/revision2" xmlns:xr3="http://schemas.microsoft.com/office/spreadsheetml/2016/revision3" xr:uid="{B4CA7FCB-70D9-E5ED-D18C-4A0D36FD055C}" mc:Ignorable="x14ac xr xr2 xr3">
  <sheetPr>
    <tabColor theme="6" tint="0.400000005960464"/>
  </sheetPr>
  <dimension ref="A1:AS66"/>
  <sheetViews>
    <sheetView showGridLines="0" zoomScale="90" zoomScaleNormal="90" workbookViewId="0" topLeftCell="A1">
      <pane xSplit="29" ySplit="42" topLeftCell="AD43" activePane="bottomRight" state="frozen"/>
      <selection pane="topLeft" activeCell="A1" sqref="A1"/>
      <selection pane="bottomLeft" activeCell="A43" sqref="A43"/>
      <selection pane="topRight" activeCell="AD1" sqref="AD1"/>
      <selection pane="bottomRight" activeCell="A1" sqref="A1"/>
    </sheetView>
  </sheetViews>
  <sheetFormatPr defaultColWidth="10.5742857142857" defaultRowHeight="14.25" customHeight="1"/>
  <cols>
    <col min="1" max="1" width="10.5714285714286" style="1369" hidden="1"/>
    <col min="2" max="2" width="11" style="1369" hidden="1" customWidth="1"/>
    <col min="3" max="3" width="10.5714285714286" style="1369" hidden="1"/>
    <col min="4" max="4" width="11.8571428571429" style="1369" hidden="1" customWidth="1"/>
    <col min="5" max="5" width="10" style="1369" hidden="1" customWidth="1"/>
    <col min="6" max="6" width="8.71428571428571" style="1369" hidden="1" customWidth="1"/>
    <col min="7" max="7" width="7.57142857142857" style="1369" hidden="1" customWidth="1"/>
    <col min="8" max="8" width="11.4285714285714" style="1369" hidden="1" customWidth="1"/>
    <col min="9" max="9" width="12" style="1369" hidden="1" customWidth="1"/>
    <col min="10" max="10" width="9.85714285714286" style="1369" hidden="1" customWidth="1"/>
    <col min="11" max="11" width="11.4285714285714" style="1369" hidden="1" customWidth="1"/>
    <col min="12" max="12" width="19.1428571428571" style="2610" hidden="1" customWidth="1"/>
    <col min="13" max="14" width="12.2857142857143" style="1779" hidden="1" customWidth="1"/>
    <col min="15" max="15" width="23.4285714285714" style="1779" hidden="1" customWidth="1"/>
    <col min="16" max="16" width="3.71428571428571" style="2400" hidden="1" customWidth="1"/>
    <col min="17" max="18" width="3" style="347" customWidth="1"/>
    <col min="19" max="19" width="12" style="2410" customWidth="1"/>
    <col min="20" max="20" width="31" style="1638" customWidth="1"/>
    <col min="21" max="21" width="0.142857142857143" style="1638" customWidth="1"/>
    <col min="22" max="22" width="24.7142857142857" style="1638" hidden="1" customWidth="1"/>
    <col min="23" max="23" width="0.142857142857143" style="1638" hidden="1" customWidth="1"/>
    <col min="24" max="25" width="24.7142857142857" style="1638" hidden="1" customWidth="1"/>
    <col min="26" max="26" width="11.7142857142857" style="1638" hidden="1" customWidth="1"/>
    <col min="27" max="27" width="3.71428571428571" style="1638" hidden="1" customWidth="1"/>
    <col min="28" max="28" width="11.7142857142857" style="1638" hidden="1" customWidth="1"/>
    <col min="29" max="29" width="8.57142857142857" style="1638" hidden="1" customWidth="1"/>
    <col min="30" max="30" width="24.7142857142857" style="1638" customWidth="1"/>
    <col min="31" max="31" width="0.142857142857143" style="1638" customWidth="1"/>
    <col min="32" max="33" width="24" style="1638" customWidth="1"/>
    <col min="34" max="34" width="11" style="1638" customWidth="1"/>
    <col min="35" max="35" width="3.71428571428571" style="1638" customWidth="1"/>
    <col min="36" max="36" width="11" style="1638" customWidth="1"/>
    <col min="37" max="37" width="8.57142857142857" style="1638" hidden="1" customWidth="1"/>
    <col min="38" max="38" width="4" style="1638" customWidth="1"/>
    <col min="39" max="39" width="115" style="1638" customWidth="1"/>
    <col min="40" max="44" width="10" style="1645" customWidth="1"/>
    <col min="45" max="45" width="10.5714285714286" style="1638" hidden="1"/>
  </cols>
  <sheetData>
    <row r="1" spans="1:1 25:45" ht="22.5" customHeight="1" hidden="1">
      <c r="A1" s="1874"/>
      <c r="Y1" s="330"/>
      <c s="330"/>
      <c r="AG1" s="330"/>
      <c s="330"/>
      <c r="AS1" s="1158" t="s">
        <v>14</v>
      </c>
    </row>
    <row r="2" spans="1:45" ht="21" customHeight="1" hidden="1">
      <c r="A2" s="1366"/>
      <c s="1366"/>
      <c s="1366"/>
      <c s="1366"/>
      <c s="2261">
        <v>1</v>
      </c>
      <c s="1366"/>
      <c s="1366"/>
      <c s="1366"/>
      <c s="1366"/>
      <c s="1366"/>
      <c s="1366"/>
      <c s="1367"/>
      <c s="1368"/>
      <c s="1368"/>
      <c s="1368"/>
      <c s="364"/>
      <c s="363"/>
      <c s="358"/>
      <c s="1339">
        <f>INDEX(PT_DIFFERENTIATION_NUM_NTAR,MATCH(A2,PT_DIFFERENTIATION_NTAR_ID,0))</f>
      </c>
      <c s="301" t="s">
        <v>125</v>
      </c>
      <c s="303"/>
      <c s="2245"/>
      <c s="2246"/>
      <c s="2246"/>
      <c s="2246"/>
      <c s="2246"/>
      <c s="2246"/>
      <c s="2246"/>
      <c s="2247"/>
      <c s="2245">
        <f>INDEX(PT_DIFFERENTIATION_NTAR,MATCH(A2,PT_DIFFERENTIATION_NTAR_ID,0))</f>
      </c>
      <c s="2246"/>
      <c s="2246"/>
      <c s="2246"/>
      <c s="2246"/>
      <c s="2246"/>
      <c s="2246"/>
      <c s="2246"/>
      <c s="2247"/>
      <c s="1261" t="s">
        <v>396</v>
      </c>
      <c r="AO2" s="503"/>
      <c s="503" t="str">
        <f>IF(T2="","",T2)</f>
        <v>Наименование тарифа</v>
      </c>
      <c s="503"/>
      <c s="503"/>
      <c s="1158">
        <v>0</v>
      </c>
    </row>
    <row r="3" spans="1:45" ht="21" customHeight="1" hidden="1">
      <c r="A3" s="1366"/>
      <c s="1366"/>
      <c s="1366"/>
      <c s="1366"/>
      <c s="2262"/>
      <c s="2261">
        <v>1</v>
      </c>
      <c s="1366"/>
      <c s="1366"/>
      <c s="1366"/>
      <c s="1366"/>
      <c s="1366"/>
      <c s="1367"/>
      <c s="1368"/>
      <c s="1368"/>
      <c s="1368"/>
      <c s="1335"/>
      <c s="355"/>
      <c s="356"/>
      <c s="1339">
        <f>INDEX(PT_DIFFERENTIATION_NUM_TER,MATCH(B3,PT_DIFFERENTIATION_TER_ID,0))</f>
      </c>
      <c s="311" t="s">
        <v>397</v>
      </c>
      <c s="303"/>
      <c s="2245"/>
      <c s="2246"/>
      <c s="2246"/>
      <c s="2246"/>
      <c s="2246"/>
      <c s="2246"/>
      <c s="2246"/>
      <c s="2247"/>
      <c s="2245">
        <f>INDEX(PT_DIFFERENTIATION_TER,MATCH(B3,PT_DIFFERENTIATION_TER_ID,0))</f>
      </c>
      <c s="2246"/>
      <c s="2246"/>
      <c s="2246"/>
      <c s="2246"/>
      <c s="2246"/>
      <c s="2246"/>
      <c s="2246"/>
      <c s="2247"/>
      <c s="1261" t="s">
        <v>398</v>
      </c>
      <c r="AO3" s="503"/>
      <c s="503" t="str">
        <f>IF(T3="","",T3)</f>
        <v>Территория действия тарифа</v>
      </c>
      <c s="503"/>
      <c s="503"/>
      <c s="1158">
        <v>0</v>
      </c>
    </row>
    <row r="4" spans="1:45" ht="23.25" customHeight="1" hidden="1">
      <c r="A4" s="1366"/>
      <c s="1366"/>
      <c s="1366"/>
      <c s="1366"/>
      <c s="2262"/>
      <c s="2262"/>
      <c s="2261">
        <v>1</v>
      </c>
      <c s="1366"/>
      <c s="1366"/>
      <c s="1366"/>
      <c s="1366"/>
      <c s="1367"/>
      <c s="1368"/>
      <c s="1368"/>
      <c s="1368"/>
      <c s="357"/>
      <c s="355"/>
      <c s="356"/>
      <c s="2011">
        <f>INDEX(PT_DIFFERENTIATION_NUM_CS,MATCH(C4,PT_DIFFERENTIATION_CS_ID,0))</f>
      </c>
      <c s="2015" t="s">
        <v>399</v>
      </c>
      <c s="2016"/>
      <c s="2303"/>
      <c s="2304"/>
      <c s="2304"/>
      <c s="2304"/>
      <c s="2304"/>
      <c s="2304"/>
      <c s="2304"/>
      <c s="2305"/>
      <c s="2303">
        <f>INDEX(PT_DIFFERENTIATION_CS,MATCH(C4,PT_DIFFERENTIATION_CS_ID,0))</f>
      </c>
      <c s="2304"/>
      <c s="2304"/>
      <c s="2304"/>
      <c s="2304"/>
      <c s="2304"/>
      <c s="2304"/>
      <c s="2304"/>
      <c s="2305"/>
      <c s="1261" t="s">
        <v>400</v>
      </c>
      <c r="AO4" s="503"/>
      <c s="503" t="str">
        <f>IF(T4="","",T4)</f>
        <v>Наименование системы теплоснабжения</v>
      </c>
      <c s="503"/>
      <c s="503"/>
      <c s="1158">
        <v>0</v>
      </c>
    </row>
    <row r="5" spans="1:45" ht="21" customHeight="1" hidden="1">
      <c r="A5" s="1366"/>
      <c s="1366"/>
      <c s="1366"/>
      <c s="1366"/>
      <c s="2262"/>
      <c s="2262"/>
      <c s="2262"/>
      <c s="2261">
        <v>1</v>
      </c>
      <c s="1366"/>
      <c s="1366"/>
      <c s="1366"/>
      <c s="1367"/>
      <c s="1368"/>
      <c s="1368"/>
      <c s="1368"/>
      <c s="357"/>
      <c s="355"/>
      <c s="1638"/>
      <c s="2010">
        <f>INDEX(PT_DIFFERENTIATION_NUM_IST_TE,MATCH(D5,PT_DIFFERENTIATION_IST_TE_ID,0))</f>
      </c>
      <c s="313" t="s">
        <v>401</v>
      </c>
      <c s="303"/>
      <c s="2306"/>
      <c s="2306"/>
      <c s="2306"/>
      <c s="2306"/>
      <c s="2306"/>
      <c s="2306"/>
      <c s="2306"/>
      <c s="2306"/>
      <c s="2306">
        <f>INDEX(PT_DIFFERENTIATION_IST_TE,MATCH(D5,PT_DIFFERENTIATION_IST_TE_ID,0))</f>
      </c>
      <c s="2306"/>
      <c s="2306"/>
      <c s="2306"/>
      <c s="2306"/>
      <c s="2306"/>
      <c s="2306"/>
      <c s="2306"/>
      <c s="2306"/>
      <c s="2013" t="s">
        <v>402</v>
      </c>
      <c r="AO5" s="503"/>
      <c s="503" t="str">
        <f>IF(T5="","",T5)</f>
        <v>Источник тепловой энергии</v>
      </c>
      <c s="503"/>
      <c s="503"/>
      <c s="1158">
        <v>0</v>
      </c>
    </row>
    <row r="6" spans="1:45" ht="0.75" customHeight="1" hidden="1">
      <c r="A6" s="1366"/>
      <c s="1366"/>
      <c s="1366"/>
      <c s="1366"/>
      <c s="2262"/>
      <c s="2262"/>
      <c s="2262"/>
      <c s="2262"/>
      <c s="2259">
        <f>S5&amp;".1"</f>
      </c>
      <c s="1366"/>
      <c s="1366"/>
      <c s="1367" t="s">
        <v>403</v>
      </c>
      <c s="540"/>
      <c r="P6" s="2260">
        <v>1</v>
      </c>
      <c s="1334"/>
      <c s="2009"/>
      <c s="1045"/>
      <c s="1386"/>
      <c s="1387"/>
      <c s="2307"/>
      <c s="2307"/>
      <c s="2307"/>
      <c s="2307"/>
      <c s="2307"/>
      <c s="2307"/>
      <c s="2307"/>
      <c s="2307"/>
      <c s="2307"/>
      <c s="2307"/>
      <c s="2307"/>
      <c s="2307"/>
      <c s="2307"/>
      <c s="2307"/>
      <c s="2307"/>
      <c s="2307"/>
      <c s="2307"/>
      <c s="2014"/>
      <c r="AO6" s="503"/>
      <c s="503" t="str">
        <f>IF(T6="","",T6)</f>
        <v/>
      </c>
      <c s="503"/>
      <c s="503"/>
      <c s="1158">
        <v>0</v>
      </c>
    </row>
    <row r="7" spans="1:45" ht="84" customHeight="1" hidden="1">
      <c r="A7" s="1366"/>
      <c s="1366"/>
      <c s="1366"/>
      <c s="1366"/>
      <c s="2262"/>
      <c s="2262"/>
      <c s="2262"/>
      <c s="2262"/>
      <c s="2289"/>
      <c s="2259">
        <f>I6&amp;".1"</f>
      </c>
      <c s="1366"/>
      <c s="1367" t="s">
        <v>406</v>
      </c>
      <c s="540"/>
      <c s="1369"/>
      <c r="P7" s="2260"/>
      <c s="2260">
        <v>1</v>
      </c>
      <c s="1645"/>
      <c s="2010">
        <f>$J7</f>
      </c>
      <c s="289" t="s">
        <v>407</v>
      </c>
      <c s="303"/>
      <c s="2308"/>
      <c s="2308"/>
      <c s="2308"/>
      <c s="2308"/>
      <c s="2308"/>
      <c s="2308"/>
      <c s="2308"/>
      <c s="2308"/>
      <c s="2308"/>
      <c s="2308"/>
      <c s="2308"/>
      <c s="2308"/>
      <c s="2308"/>
      <c s="2308"/>
      <c s="2308"/>
      <c s="2308"/>
      <c s="2308"/>
      <c s="2013" t="s">
        <v>408</v>
      </c>
      <c r="AO7" s="503"/>
      <c s="503" t="str">
        <f>IF(T7="","",T7)</f>
        <v>Группа потребителей</v>
      </c>
      <c s="503"/>
      <c s="503"/>
      <c s="1158">
        <v>0</v>
      </c>
    </row>
    <row r="8" spans="1:45" ht="11.25" customHeight="1" hidden="1">
      <c r="A8" s="1366"/>
      <c s="1366"/>
      <c s="1366"/>
      <c s="1366"/>
      <c s="2262"/>
      <c s="2262"/>
      <c s="2262"/>
      <c s="2262"/>
      <c s="2289"/>
      <c s="2289"/>
      <c s="2259">
        <f>J7&amp;".1"</f>
      </c>
      <c s="1367" t="s">
        <v>409</v>
      </c>
      <c s="540"/>
      <c s="1369"/>
      <c s="1369"/>
      <c s="2260"/>
      <c s="2260"/>
      <c s="360">
        <v>1</v>
      </c>
      <c s="2012">
        <f>$K8</f>
      </c>
      <c s="2017"/>
      <c s="2018"/>
      <c s="2019"/>
      <c s="1352"/>
      <c s="2019"/>
      <c s="2020"/>
      <c s="2309"/>
      <c s="2115" t="s">
        <v>65</v>
      </c>
      <c s="2309"/>
      <c s="2115" t="s">
        <v>65</v>
      </c>
      <c s="2019"/>
      <c s="1352"/>
      <c s="2019"/>
      <c s="2020"/>
      <c s="2309"/>
      <c s="2115" t="s">
        <v>65</v>
      </c>
      <c s="2309"/>
      <c s="2115" t="s">
        <v>65</v>
      </c>
      <c s="1352"/>
      <c s="2256" t="s">
        <v>410</v>
      </c>
      <c s="514">
        <f>STRCHECKDATE(V9:AL9)</f>
      </c>
      <c s="503"/>
      <c s="503" t="str">
        <f>IF(T8="","",T8)</f>
        <v/>
      </c>
      <c s="503"/>
      <c s="503"/>
      <c s="1158">
        <v>0</v>
      </c>
    </row>
    <row r="9" spans="1:45" ht="0.75" customHeight="1" hidden="1">
      <c r="A9" s="1366"/>
      <c s="1366"/>
      <c s="1366"/>
      <c s="1366"/>
      <c s="2262"/>
      <c s="2262"/>
      <c s="2262"/>
      <c s="2262"/>
      <c s="2289"/>
      <c s="2289"/>
      <c s="2259"/>
      <c s="1367"/>
      <c s="540"/>
      <c s="1369"/>
      <c s="1369"/>
      <c s="2260"/>
      <c s="2260"/>
      <c s="360"/>
      <c s="1345"/>
      <c s="303"/>
      <c s="303"/>
      <c s="328"/>
      <c s="328"/>
      <c s="328"/>
      <c s="331" t="str">
        <f>Z8&amp;"-"&amp;AB8</f>
        <v>-</v>
      </c>
      <c s="2269"/>
      <c s="2110"/>
      <c s="2269"/>
      <c s="2110"/>
      <c s="328"/>
      <c s="328"/>
      <c s="328"/>
      <c s="331" t="str">
        <f>AH8&amp;"-"&amp;AJ8</f>
        <v>-</v>
      </c>
      <c s="2269"/>
      <c s="2110"/>
      <c s="2269"/>
      <c s="2110"/>
      <c s="328"/>
      <c s="2257"/>
      <c r="AO9" s="503"/>
      <c s="503" t="str">
        <f>IF(T9="","",T9)</f>
        <v/>
      </c>
      <c s="503"/>
      <c s="503"/>
      <c s="1158">
        <v>0</v>
      </c>
    </row>
    <row r="10" spans="1:45" ht="11.25" customHeight="1" hidden="1">
      <c r="A10" s="1366"/>
      <c s="1366"/>
      <c s="1366"/>
      <c s="1366"/>
      <c s="2262"/>
      <c s="2262"/>
      <c s="2262"/>
      <c s="2262"/>
      <c s="2289"/>
      <c s="2259"/>
      <c s="1366"/>
      <c s="1367"/>
      <c s="540"/>
      <c s="1369"/>
      <c r="P10" s="2260"/>
      <c s="2260"/>
      <c s="359"/>
      <c s="1281"/>
      <c s="290" t="s">
        <v>411</v>
      </c>
      <c s="370"/>
      <c s="370"/>
      <c s="370"/>
      <c s="370"/>
      <c s="370"/>
      <c s="370"/>
      <c s="370"/>
      <c s="370"/>
      <c s="370"/>
      <c s="370"/>
      <c s="370"/>
      <c s="370"/>
      <c s="370"/>
      <c s="370"/>
      <c s="370"/>
      <c s="370"/>
      <c s="370"/>
      <c s="327"/>
      <c s="2258"/>
      <c r="AO10" s="503"/>
      <c s="503" t="str">
        <f>IF(T10="","",T10)</f>
        <v>Добавить вид теплоносителя (параметры теплоносителя)</v>
      </c>
      <c s="503"/>
      <c s="503"/>
      <c s="1158">
        <v>0</v>
      </c>
    </row>
    <row r="11" spans="1:45" ht="11.25" customHeight="1" hidden="1">
      <c r="A11" s="1366"/>
      <c s="1366"/>
      <c s="1366"/>
      <c s="1366"/>
      <c s="2262"/>
      <c s="2262"/>
      <c s="2262"/>
      <c s="2262"/>
      <c s="2259"/>
      <c s="1366"/>
      <c s="1366"/>
      <c s="1367"/>
      <c s="540"/>
      <c r="P11" s="2260"/>
      <c s="1334"/>
      <c s="359"/>
      <c s="1281"/>
      <c s="368" t="s">
        <v>412</v>
      </c>
      <c s="370"/>
      <c s="370"/>
      <c s="370"/>
      <c s="370"/>
      <c s="370"/>
      <c s="370"/>
      <c s="370"/>
      <c s="370"/>
      <c s="369"/>
      <c s="370"/>
      <c s="370"/>
      <c s="370"/>
      <c s="370"/>
      <c s="370"/>
      <c s="370"/>
      <c s="370"/>
      <c s="369"/>
      <c s="370"/>
      <c s="306"/>
      <c r="AO11" s="503"/>
      <c s="503" t="str">
        <f>IF(T11="","",T11)</f>
        <v>Добавить группу потребителей</v>
      </c>
      <c s="503"/>
      <c s="503"/>
      <c s="1158">
        <v>0</v>
      </c>
    </row>
    <row r="12" spans="1:45" ht="0.75" customHeight="1" hidden="1">
      <c r="A12" s="1366"/>
      <c s="1366"/>
      <c s="1366"/>
      <c s="1366"/>
      <c s="2262"/>
      <c s="2262"/>
      <c s="2262"/>
      <c s="2261"/>
      <c s="1366"/>
      <c s="1366"/>
      <c s="1366"/>
      <c s="1367"/>
      <c s="1368"/>
      <c s="1368"/>
      <c s="540"/>
      <c s="363"/>
      <c s="378"/>
      <c s="358"/>
      <c s="1389"/>
      <c s="1390"/>
      <c s="1391"/>
      <c s="1391"/>
      <c s="1391"/>
      <c s="1391"/>
      <c s="1391"/>
      <c s="1391"/>
      <c s="1391"/>
      <c s="1391"/>
      <c s="1391"/>
      <c s="1391"/>
      <c s="1391"/>
      <c s="1391"/>
      <c s="1391"/>
      <c s="1391"/>
      <c s="1391"/>
      <c s="1391"/>
      <c s="1391"/>
      <c s="1391"/>
      <c s="1392"/>
      <c r="AO12" s="503"/>
      <c s="503" t="str">
        <f>IF(T12="","",T12)</f>
        <v/>
      </c>
      <c s="503"/>
      <c s="503"/>
      <c s="1158">
        <v>0</v>
      </c>
    </row>
    <row r="13" spans="1:45" s="1645" customFormat="1" ht="0.75" customHeight="1" hidden="1">
      <c r="A13" s="1317"/>
      <c s="1317"/>
      <c s="1317"/>
      <c s="1317"/>
      <c s="2262"/>
      <c s="2262"/>
      <c s="2261"/>
      <c s="1317"/>
      <c s="1317"/>
      <c s="1317"/>
      <c s="1317"/>
      <c s="1342"/>
      <c s="1318"/>
      <c s="1318"/>
      <c r="P13" s="1319"/>
      <c s="1320"/>
      <c s="1319"/>
      <c s="1321"/>
      <c s="1322" t="s">
        <v>414</v>
      </c>
      <c s="1323"/>
      <c s="1323"/>
      <c s="1323"/>
      <c s="1323"/>
      <c s="1323"/>
      <c s="1323"/>
      <c s="1323"/>
      <c s="1323"/>
      <c s="1323"/>
      <c s="1323"/>
      <c s="1323"/>
      <c s="1323"/>
      <c s="1323"/>
      <c s="1323"/>
      <c s="1323"/>
      <c s="1323"/>
      <c s="1323"/>
      <c s="1323"/>
      <c s="1323"/>
      <c r="AO13" s="792"/>
      <c s="792" t="str">
        <f>IF(T13="","",T13)</f>
        <v>Добавить источник для дифференциации</v>
      </c>
      <c s="792"/>
      <c s="792"/>
      <c s="521">
        <v>0</v>
      </c>
    </row>
    <row r="14" spans="1:45" s="1645" customFormat="1" ht="0.75" customHeight="1" hidden="1">
      <c r="A14" s="1317"/>
      <c s="1317"/>
      <c s="1317"/>
      <c s="1317"/>
      <c s="2262"/>
      <c s="2261"/>
      <c s="1317"/>
      <c s="1317"/>
      <c s="1317"/>
      <c s="1317"/>
      <c s="1317"/>
      <c s="1342"/>
      <c s="1324"/>
      <c s="1324"/>
      <c r="P14" s="1319"/>
      <c s="1320"/>
      <c s="1319"/>
      <c s="1325"/>
      <c s="1326" t="s">
        <v>415</v>
      </c>
      <c s="1327"/>
      <c s="1327"/>
      <c s="1327"/>
      <c s="1327"/>
      <c s="1327"/>
      <c s="1327"/>
      <c s="1327"/>
      <c s="1327"/>
      <c s="1327"/>
      <c s="1327"/>
      <c s="1327"/>
      <c s="1327"/>
      <c s="1327"/>
      <c s="1327"/>
      <c s="1327"/>
      <c s="1327"/>
      <c s="1327"/>
      <c s="1327"/>
      <c s="1327"/>
      <c r="AO14" s="792"/>
      <c s="792" t="str">
        <f>IF(T14="","",T14)</f>
        <v>Добавить централизованную систему для дифференциации</v>
      </c>
      <c s="792"/>
      <c s="792"/>
      <c s="521">
        <v>0</v>
      </c>
    </row>
    <row r="15" spans="1:45" s="1645" customFormat="1" ht="0.75" customHeight="1" hidden="1">
      <c r="A15" s="1317"/>
      <c s="1317"/>
      <c s="1317"/>
      <c s="1317"/>
      <c s="2261"/>
      <c s="1317"/>
      <c s="1317"/>
      <c s="1317"/>
      <c s="1317"/>
      <c s="1317"/>
      <c s="1317"/>
      <c s="1342"/>
      <c s="1324"/>
      <c s="1324"/>
      <c r="P15" s="1319"/>
      <c s="1320"/>
      <c s="1319"/>
      <c s="1325"/>
      <c s="1328" t="s">
        <v>416</v>
      </c>
      <c s="1327"/>
      <c s="1327"/>
      <c s="1327"/>
      <c s="1327"/>
      <c s="1327"/>
      <c s="1327"/>
      <c s="1327"/>
      <c s="1327"/>
      <c s="1327"/>
      <c s="1327"/>
      <c s="1327"/>
      <c s="1327"/>
      <c s="1327"/>
      <c s="1327"/>
      <c s="1327"/>
      <c s="1327"/>
      <c s="1327"/>
      <c s="1327"/>
      <c s="1327"/>
      <c r="AO15" s="792"/>
      <c s="792" t="str">
        <f>IF(T15="","",T15)</f>
        <v>Добавить территорию для дифференциации</v>
      </c>
      <c s="792"/>
      <c s="792"/>
      <c s="521">
        <v>0</v>
      </c>
    </row>
    <row r="16" spans="29:45" ht="14.25" customHeight="1" hidden="1">
      <c r="AC16" s="330"/>
      <c r="AK16" s="330"/>
      <c r="AS16" s="1158">
        <v>0</v>
      </c>
    </row>
    <row r="17" spans="30:45" ht="14.25" customHeight="1" hidden="1">
      <c r="AD17" s="1363"/>
      <c s="1363"/>
      <c s="1363"/>
      <c s="1364"/>
      <c s="2270"/>
      <c s="2271" t="s">
        <v>65</v>
      </c>
      <c s="2270"/>
      <c s="2271" t="s">
        <v>65</v>
      </c>
      <c r="AS17" s="1158">
        <v>0</v>
      </c>
    </row>
    <row r="18" spans="30:45" ht="14.25" customHeight="1" hidden="1">
      <c r="AD18" s="1363"/>
      <c s="1363"/>
      <c s="1363"/>
      <c s="331" t="str">
        <f>AH17&amp;"-"&amp;AJ17</f>
        <v>-</v>
      </c>
      <c s="2271"/>
      <c s="2271"/>
      <c s="2271"/>
      <c s="2271"/>
      <c r="AS18" s="1158">
        <v>0</v>
      </c>
    </row>
    <row r="19" spans="37:45" ht="14.25" customHeight="1" hidden="1">
      <c r="AK19" s="330"/>
      <c r="AS19" s="1158">
        <v>0</v>
      </c>
    </row>
    <row r="20" spans="12:45" s="1369" customFormat="1" ht="22.5" customHeight="1" hidden="1">
      <c r="L20" s="1332"/>
      <c s="1365"/>
      <c s="1365"/>
      <c s="1370" t="s">
        <v>417</v>
      </c>
      <c s="1365"/>
      <c s="1374"/>
      <c s="1374"/>
      <c s="732"/>
      <c r="Z20" s="1370"/>
      <c r="AB20" s="1370"/>
      <c s="1369"/>
      <c r="AH20" s="1370"/>
      <c r="AJ20" s="1370"/>
      <c s="1369"/>
      <c r="AN20" s="514"/>
      <c s="514"/>
      <c s="514"/>
      <c s="514"/>
      <c s="514"/>
      <c s="1163">
        <v>0</v>
      </c>
    </row>
    <row r="21" spans="12:45" s="1369" customFormat="1" ht="14.25" customHeight="1" hidden="1">
      <c r="L21" s="1332"/>
      <c s="1365"/>
      <c s="1365"/>
      <c s="1365"/>
      <c s="1365"/>
      <c s="1374"/>
      <c s="1374"/>
      <c s="732"/>
      <c r="AC21" s="1369"/>
      <c r="AK21" s="1369"/>
      <c r="AN21" s="514"/>
      <c s="514"/>
      <c s="514"/>
      <c s="514"/>
      <c s="514"/>
      <c s="1163">
        <v>0</v>
      </c>
    </row>
    <row r="22" spans="12:45" s="1369" customFormat="1" ht="14.25" customHeight="1" hidden="1">
      <c r="L22" s="1332"/>
      <c s="1365"/>
      <c s="1365"/>
      <c s="1367" t="s">
        <v>418</v>
      </c>
      <c s="1365"/>
      <c s="1374"/>
      <c s="1374"/>
      <c s="732"/>
      <c s="1163" t="s">
        <v>419</v>
      </c>
      <c r="AA22" s="189" t="s">
        <v>420</v>
      </c>
      <c r="AC22" s="189" t="s">
        <v>421</v>
      </c>
      <c s="1163" t="s">
        <v>419</v>
      </c>
      <c r="AI22" s="189" t="s">
        <v>422</v>
      </c>
      <c r="AK22" s="189" t="s">
        <v>421</v>
      </c>
      <c r="AN22" s="514"/>
      <c s="514"/>
      <c s="514"/>
      <c s="514"/>
      <c s="514"/>
      <c s="1163">
        <v>0</v>
      </c>
    </row>
    <row r="23" spans="15:45" ht="14.25" customHeight="1" hidden="1">
      <c r="O23" s="1367"/>
      <c r="AS23" s="1158">
        <v>0</v>
      </c>
    </row>
    <row r="24" spans="15:45" ht="14.25" customHeight="1" hidden="1">
      <c r="O24" s="1367"/>
      <c r="AS24" s="1158">
        <v>0</v>
      </c>
    </row>
    <row r="25" spans="17:45" ht="14.7" customHeight="1">
      <c r="Q25" s="379"/>
      <c s="379"/>
      <c s="1278"/>
      <c s="366"/>
      <c s="366"/>
      <c s="512"/>
      <c s="512"/>
      <c s="512"/>
      <c s="512"/>
      <c s="512"/>
      <c s="512"/>
      <c s="512"/>
      <c s="512"/>
      <c s="512"/>
      <c s="512"/>
      <c s="512"/>
      <c s="512"/>
      <c s="512"/>
      <c s="512"/>
      <c s="512"/>
      <c s="512"/>
      <c r="AS25" s="1158">
        <v>14</v>
      </c>
    </row>
    <row r="26" spans="17:45" ht="54.75" customHeight="1">
      <c r="Q26" s="379"/>
      <c s="379"/>
      <c s="2310"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s="2310"/>
      <c s="2310"/>
      <c s="2310"/>
      <c s="2310"/>
      <c s="2310"/>
      <c s="2310"/>
      <c s="2310"/>
      <c s="2310"/>
      <c s="2310"/>
      <c s="2310"/>
      <c s="2310"/>
      <c s="2310"/>
      <c s="2310"/>
      <c s="2310"/>
      <c s="2310"/>
      <c s="2310"/>
      <c s="2310"/>
      <c s="1246"/>
      <c r="AS26" s="1158">
        <v>52</v>
      </c>
    </row>
    <row r="27" spans="17:45" ht="14.7" customHeight="1">
      <c r="Q27" s="379"/>
      <c s="379"/>
      <c s="2252" t="str">
        <f>IF(org=0,"Не определено",org)</f>
        <v>ГУП КК "Кубаньводкомплекс"</v>
      </c>
      <c s="2252"/>
      <c s="2252"/>
      <c s="2252"/>
      <c s="2252"/>
      <c s="2252"/>
      <c s="2252"/>
      <c s="2252"/>
      <c s="2252"/>
      <c s="2252"/>
      <c s="2252"/>
      <c s="2252"/>
      <c s="2252"/>
      <c s="2252"/>
      <c s="2252"/>
      <c s="2252"/>
      <c s="2252"/>
      <c s="2252"/>
      <c s="1246"/>
      <c r="AS27" s="1158">
        <v>14</v>
      </c>
    </row>
    <row r="28" spans="17:45" ht="14.25" customHeight="1" hidden="1">
      <c r="Q28" s="379"/>
      <c s="379"/>
      <c s="1278"/>
      <c s="366"/>
      <c s="366"/>
      <c s="325"/>
      <c s="325"/>
      <c s="325"/>
      <c s="325"/>
      <c s="325"/>
      <c s="325"/>
      <c s="325"/>
      <c s="325"/>
      <c s="325"/>
      <c s="325"/>
      <c s="325"/>
      <c s="325"/>
      <c s="325"/>
      <c s="325"/>
      <c s="325"/>
      <c s="325"/>
      <c s="512"/>
      <c r="AS28" s="1158">
        <v>0</v>
      </c>
    </row>
    <row r="29" spans="1:45" s="1856" customFormat="1" ht="25.5" customHeight="1" hidden="1">
      <c r="A29" s="1371"/>
      <c s="1371"/>
      <c s="1371"/>
      <c s="1371"/>
      <c s="1371"/>
      <c s="1371"/>
      <c s="1371"/>
      <c s="1371"/>
      <c s="1371"/>
      <c s="1371"/>
      <c s="1371"/>
      <c s="1372"/>
      <c s="1371"/>
      <c s="1371"/>
      <c s="1371"/>
      <c r="S29" s="2253" t="s">
        <v>42</v>
      </c>
      <c s="2253"/>
      <c s="1375"/>
      <c s="2254" t="str">
        <f>IF(TITLE_NAME_OR_PR_CHANGE="",IF(TITLE_NAME_OR_PR="","",TITLE_NAME_OR_PR),TITLE_NAME_OR_PR_CHANGE)</f>
        <v/>
      </c>
      <c s="2254"/>
      <c s="2254"/>
      <c s="2254"/>
      <c s="2254"/>
      <c s="2254"/>
      <c s="2254"/>
      <c s="329"/>
      <c s="2254" t="str">
        <f>IF(TITLE_NAME_OR_PR_CHANGE="",IF(TITLE_NAME_OR_PR="","",TITLE_NAME_OR_PR),TITLE_NAME_OR_PR_CHANGE)</f>
        <v/>
      </c>
      <c s="2254"/>
      <c s="2254"/>
      <c s="2254"/>
      <c s="2254"/>
      <c s="2254"/>
      <c s="2254"/>
      <c s="329"/>
      <c s="329"/>
      <c s="283"/>
      <c s="371"/>
      <c s="371"/>
      <c s="371"/>
      <c s="371"/>
      <c s="371"/>
      <c s="421">
        <v>0</v>
      </c>
    </row>
    <row r="30" spans="1:45" s="1856" customFormat="1" ht="18.75" customHeight="1" hidden="1">
      <c r="A30" s="1371"/>
      <c s="1371"/>
      <c s="1371"/>
      <c s="1371"/>
      <c s="1371"/>
      <c s="1371"/>
      <c s="1371"/>
      <c s="1371"/>
      <c s="1371"/>
      <c s="1371"/>
      <c s="1371"/>
      <c s="1372"/>
      <c s="1371"/>
      <c s="1371"/>
      <c s="1371"/>
      <c r="S30" s="2253" t="s">
        <v>423</v>
      </c>
      <c s="2253"/>
      <c s="1375"/>
      <c s="2267" t="str">
        <f>IF(TITLE_DATE_PR_CHANGE="",IF(TITLE_DATE_PR="","",TITLE_DATE_PR),TITLE_DATE_PR_CHANGE)</f>
        <v/>
      </c>
      <c s="2267"/>
      <c s="2267"/>
      <c s="2267"/>
      <c s="2267"/>
      <c s="2267"/>
      <c s="2267"/>
      <c s="329"/>
      <c s="2267" t="str">
        <f>IF(TITLE_DATE_PR_CHANGE="",IF(TITLE_DATE_PR="","",TITLE_DATE_PR),TITLE_DATE_PR_CHANGE)</f>
        <v/>
      </c>
      <c s="2267"/>
      <c s="2267"/>
      <c s="2267"/>
      <c s="2267"/>
      <c s="2267"/>
      <c s="2267"/>
      <c s="329"/>
      <c s="329"/>
      <c s="283"/>
      <c s="371"/>
      <c s="371"/>
      <c s="371"/>
      <c s="371"/>
      <c s="371"/>
      <c s="421">
        <v>0</v>
      </c>
    </row>
    <row r="31" spans="1:45" s="1856" customFormat="1" ht="18.75" customHeight="1" hidden="1">
      <c r="A31" s="1371"/>
      <c s="1371"/>
      <c s="1371"/>
      <c s="1371"/>
      <c s="1371"/>
      <c s="1371"/>
      <c s="1371"/>
      <c s="1371"/>
      <c s="1371"/>
      <c s="1371"/>
      <c s="1371"/>
      <c s="1372"/>
      <c s="1371"/>
      <c s="1371"/>
      <c s="1371"/>
      <c r="S31" s="2253" t="s">
        <v>424</v>
      </c>
      <c s="2253"/>
      <c s="1375"/>
      <c s="2254" t="str">
        <f>IF(TITLE_NUMBER_PR_CHANGE="",IF(TITLE_NUMBER_PR="","",TITLE_NUMBER_PR),TITLE_NUMBER_PR_CHANGE)</f>
        <v/>
      </c>
      <c s="2254"/>
      <c s="2254"/>
      <c s="2254"/>
      <c s="2254"/>
      <c s="2254"/>
      <c s="2254"/>
      <c s="329"/>
      <c s="2254" t="str">
        <f>IF(TITLE_NUMBER_PR_CHANGE="",IF(TITLE_NUMBER_PR="","",TITLE_NUMBER_PR),TITLE_NUMBER_PR_CHANGE)</f>
        <v/>
      </c>
      <c s="2254"/>
      <c s="2254"/>
      <c s="2254"/>
      <c s="2254"/>
      <c s="2254"/>
      <c s="2254"/>
      <c s="329"/>
      <c s="329"/>
      <c s="283"/>
      <c s="371"/>
      <c s="371"/>
      <c s="371"/>
      <c s="371"/>
      <c s="371"/>
      <c s="421">
        <v>0</v>
      </c>
    </row>
    <row r="32" spans="1:45" s="1856" customFormat="1" ht="18.75" customHeight="1" hidden="1">
      <c r="A32" s="1371"/>
      <c s="1371"/>
      <c s="1371"/>
      <c s="1371"/>
      <c s="1371"/>
      <c s="1371"/>
      <c s="1371"/>
      <c s="1371"/>
      <c s="1371"/>
      <c s="1371"/>
      <c s="1371"/>
      <c s="1372"/>
      <c s="1371"/>
      <c s="1371"/>
      <c s="1371"/>
      <c r="S32" s="2253" t="s">
        <v>43</v>
      </c>
      <c s="2253"/>
      <c s="1375"/>
      <c s="2254" t="str">
        <f>IF(TITLE_IST_PUB_CHANGE="",IF(TITLE_IST_PUB="","",TITLE_IST_PUB),TITLE_IST_PUB_CHANGE)</f>
        <v/>
      </c>
      <c s="2254"/>
      <c s="2254"/>
      <c s="2254"/>
      <c s="2254"/>
      <c s="2254"/>
      <c s="2254"/>
      <c s="329"/>
      <c s="2254" t="str">
        <f>IF(TITLE_IST_PUB_CHANGE="",IF(TITLE_IST_PUB="","",TITLE_IST_PUB),TITLE_IST_PUB_CHANGE)</f>
        <v/>
      </c>
      <c s="2254"/>
      <c s="2254"/>
      <c s="2254"/>
      <c s="2254"/>
      <c s="2254"/>
      <c s="2254"/>
      <c s="329"/>
      <c s="329"/>
      <c s="283"/>
      <c s="371"/>
      <c s="371"/>
      <c s="371"/>
      <c s="371"/>
      <c s="371"/>
      <c s="421">
        <v>0</v>
      </c>
    </row>
    <row r="33" spans="17:45" ht="14.25" customHeight="1" hidden="1">
      <c r="Q33" s="379"/>
      <c s="379"/>
      <c s="1278"/>
      <c s="366"/>
      <c s="366"/>
      <c s="325"/>
      <c s="325"/>
      <c s="325"/>
      <c s="325"/>
      <c s="325"/>
      <c s="325"/>
      <c s="325"/>
      <c s="325"/>
      <c s="325"/>
      <c s="325"/>
      <c s="325"/>
      <c s="325"/>
      <c s="325"/>
      <c s="325"/>
      <c s="325"/>
      <c s="325"/>
      <c s="512"/>
      <c r="AS33" s="1158">
        <v>0</v>
      </c>
    </row>
    <row r="34" spans="1:45" s="1856" customFormat="1" ht="18.75" customHeight="1" hidden="1">
      <c r="A34" s="1371"/>
      <c s="1371"/>
      <c s="1371"/>
      <c s="1371"/>
      <c s="1371"/>
      <c s="1371"/>
      <c s="1371"/>
      <c s="1371"/>
      <c s="1371"/>
      <c s="1371"/>
      <c s="1371"/>
      <c s="1372"/>
      <c s="1371"/>
      <c s="1371"/>
      <c s="1371"/>
      <c r="S34" s="2253" t="s">
        <v>425</v>
      </c>
      <c s="2253"/>
      <c s="1375"/>
      <c s="2267" t="str">
        <f>IF(TITLE_DATE_PR_CHANGE="",IF(TITLE_DATE_PR="","",TITLE_DATE_PR),TITLE_DATE_PR_CHANGE)</f>
        <v/>
      </c>
      <c s="2267"/>
      <c s="2267"/>
      <c s="2267"/>
      <c s="2267"/>
      <c s="2267"/>
      <c s="2267"/>
      <c s="329"/>
      <c s="2267" t="str">
        <f>IF(TITLE_DATE_PR_CHANGE="",IF(TITLE_DATE_PR="","",TITLE_DATE_PR),TITLE_DATE_PR_CHANGE)</f>
        <v/>
      </c>
      <c s="2267"/>
      <c s="2267"/>
      <c s="2267"/>
      <c s="2267"/>
      <c s="2267"/>
      <c s="2267"/>
      <c s="329"/>
      <c s="329"/>
      <c s="283"/>
      <c s="371"/>
      <c s="371"/>
      <c s="371"/>
      <c s="371"/>
      <c s="371"/>
      <c s="421">
        <v>0</v>
      </c>
    </row>
    <row r="35" spans="1:45" s="1856" customFormat="1" ht="18.75" customHeight="1" hidden="1">
      <c r="A35" s="1371"/>
      <c s="1371"/>
      <c s="1371"/>
      <c s="1371"/>
      <c s="1371"/>
      <c s="1371"/>
      <c s="1371"/>
      <c s="1371"/>
      <c s="1371"/>
      <c s="1371"/>
      <c s="1371"/>
      <c s="1372"/>
      <c s="1371"/>
      <c s="1371"/>
      <c s="1371"/>
      <c r="S35" s="2253" t="s">
        <v>426</v>
      </c>
      <c s="2253"/>
      <c s="1375"/>
      <c s="2254" t="str">
        <f>IF(TITLE_NUMBER_PR_CHANGE="",IF(TITLE_NUMBER_PR="","",TITLE_NUMBER_PR),TITLE_NUMBER_PR_CHANGE)</f>
        <v/>
      </c>
      <c s="2254"/>
      <c s="2254"/>
      <c s="2254"/>
      <c s="2254"/>
      <c s="2254"/>
      <c s="2254"/>
      <c s="329"/>
      <c s="2254" t="str">
        <f>IF(TITLE_NUMBER_PR_CHANGE="",IF(TITLE_NUMBER_PR="","",TITLE_NUMBER_PR),TITLE_NUMBER_PR_CHANGE)</f>
        <v/>
      </c>
      <c s="2254"/>
      <c s="2254"/>
      <c s="2254"/>
      <c s="2254"/>
      <c s="2254"/>
      <c s="2254"/>
      <c s="329"/>
      <c s="329"/>
      <c s="283"/>
      <c s="371"/>
      <c s="371"/>
      <c s="371"/>
      <c s="371"/>
      <c s="371"/>
      <c s="421">
        <v>0</v>
      </c>
    </row>
    <row r="36" spans="1:45" s="1856" customFormat="1" ht="0" customHeight="1">
      <c r="A36" s="1371"/>
      <c s="1371"/>
      <c s="1371"/>
      <c s="1371"/>
      <c s="1371"/>
      <c s="1371"/>
      <c s="1371"/>
      <c s="1371"/>
      <c s="1371"/>
      <c s="1371"/>
      <c s="1371"/>
      <c s="1372"/>
      <c s="1371"/>
      <c s="1371"/>
      <c s="1371"/>
      <c r="S36" s="326"/>
      <c s="326"/>
      <c s="1343"/>
      <c s="329"/>
      <c s="329"/>
      <c s="329"/>
      <c s="329"/>
      <c s="329"/>
      <c s="329"/>
      <c s="329"/>
      <c s="281" t="s">
        <v>427</v>
      </c>
      <c s="329"/>
      <c s="329"/>
      <c s="329"/>
      <c s="329"/>
      <c s="329"/>
      <c s="329"/>
      <c s="329"/>
      <c s="281" t="s">
        <v>427</v>
      </c>
      <c r="AN36" s="371"/>
      <c s="371"/>
      <c s="371"/>
      <c s="371"/>
      <c s="371"/>
      <c s="421">
        <v>0</v>
      </c>
    </row>
    <row r="37" spans="17:45" ht="14.7" customHeight="1">
      <c r="Q37" s="379"/>
      <c s="379"/>
      <c s="1278"/>
      <c s="366"/>
      <c s="1247"/>
      <c s="2255"/>
      <c s="2255"/>
      <c s="2255"/>
      <c s="2255"/>
      <c s="2255"/>
      <c s="2255"/>
      <c s="2255"/>
      <c s="2255"/>
      <c s="2255"/>
      <c s="2255"/>
      <c s="2255"/>
      <c s="2255"/>
      <c s="2255"/>
      <c s="2255"/>
      <c s="2255"/>
      <c s="2255"/>
      <c r="AS37" s="1158">
        <v>14</v>
      </c>
    </row>
    <row r="38" spans="17:45" ht="14.7" customHeight="1">
      <c r="Q38" s="379"/>
      <c s="379"/>
      <c s="2130" t="s">
        <v>300</v>
      </c>
      <c s="2130"/>
      <c s="2130"/>
      <c s="2130"/>
      <c s="2130"/>
      <c s="2130"/>
      <c s="2130"/>
      <c s="2130"/>
      <c s="2130"/>
      <c s="2130"/>
      <c s="2130"/>
      <c s="2130"/>
      <c s="2130"/>
      <c s="2130"/>
      <c s="2130"/>
      <c s="2130"/>
      <c s="2130"/>
      <c s="2130"/>
      <c s="2130"/>
      <c s="2130"/>
      <c s="2130" t="s">
        <v>301</v>
      </c>
      <c r="AS38" s="1158">
        <v>14</v>
      </c>
    </row>
    <row r="39" spans="17:45" ht="14.7" customHeight="1">
      <c r="Q39" s="379"/>
      <c s="379"/>
      <c s="2276" t="s">
        <v>87</v>
      </c>
      <c s="2212" t="s">
        <v>428</v>
      </c>
      <c s="304"/>
      <c s="2277" t="s">
        <v>429</v>
      </c>
      <c s="2278"/>
      <c s="2278"/>
      <c s="2278"/>
      <c s="2278"/>
      <c s="2278"/>
      <c s="2279"/>
      <c s="2280" t="s">
        <v>430</v>
      </c>
      <c s="2277" t="s">
        <v>429</v>
      </c>
      <c s="2278"/>
      <c s="2278"/>
      <c s="2278"/>
      <c s="2278"/>
      <c s="2278"/>
      <c s="2279"/>
      <c s="2280" t="s">
        <v>431</v>
      </c>
      <c s="2283" t="s">
        <v>432</v>
      </c>
      <c s="2130"/>
      <c r="AS39" s="1158">
        <v>14</v>
      </c>
    </row>
    <row r="40" spans="17:45" ht="35.7" customHeight="1">
      <c r="Q40" s="379"/>
      <c s="379"/>
      <c s="2276"/>
      <c s="2212"/>
      <c s="1034"/>
      <c s="2263" t="s">
        <v>433</v>
      </c>
      <c s="2286"/>
      <c s="2265" t="s">
        <v>435</v>
      </c>
      <c s="2266"/>
      <c s="2265" t="s">
        <v>436</v>
      </c>
      <c s="2272"/>
      <c s="2266"/>
      <c s="2281"/>
      <c s="2263" t="s">
        <v>450</v>
      </c>
      <c s="2286"/>
      <c s="2265" t="s">
        <v>435</v>
      </c>
      <c s="2266"/>
      <c s="2265" t="s">
        <v>436</v>
      </c>
      <c s="2272"/>
      <c s="2266"/>
      <c s="2281"/>
      <c s="2284"/>
      <c s="2130"/>
      <c r="AS40" s="1158">
        <v>34</v>
      </c>
    </row>
    <row r="41" spans="1:45" ht="35.7" customHeight="1">
      <c r="A41" s="1373"/>
      <c s="1373" t="s">
        <v>137</v>
      </c>
      <c s="1373" t="s">
        <v>138</v>
      </c>
      <c s="1373" t="s">
        <v>139</v>
      </c>
      <c s="1367" t="s">
        <v>437</v>
      </c>
      <c s="1367" t="s">
        <v>438</v>
      </c>
      <c s="1367" t="s">
        <v>439</v>
      </c>
      <c s="1367" t="s">
        <v>440</v>
      </c>
      <c s="1367" t="s">
        <v>441</v>
      </c>
      <c s="1367" t="s">
        <v>442</v>
      </c>
      <c s="1367" t="s">
        <v>443</v>
      </c>
      <c s="1367" t="s">
        <v>418</v>
      </c>
      <c r="Q41" s="379"/>
      <c s="379"/>
      <c s="2276"/>
      <c s="2212"/>
      <c s="305"/>
      <c s="2264"/>
      <c s="2287"/>
      <c s="1225" t="s">
        <v>444</v>
      </c>
      <c s="1225" t="s">
        <v>445</v>
      </c>
      <c s="1341" t="s">
        <v>446</v>
      </c>
      <c s="2273" t="s">
        <v>447</v>
      </c>
      <c s="2274"/>
      <c s="2282"/>
      <c s="2264"/>
      <c s="2287"/>
      <c s="1225" t="s">
        <v>444</v>
      </c>
      <c s="1225" t="s">
        <v>445</v>
      </c>
      <c s="1341" t="s">
        <v>446</v>
      </c>
      <c s="2273" t="s">
        <v>447</v>
      </c>
      <c s="2274"/>
      <c s="2282"/>
      <c s="2285"/>
      <c s="2130"/>
      <c r="AS41" s="1158">
        <v>34</v>
      </c>
    </row>
    <row r="42" spans="1:45" s="1644" customFormat="1" ht="11.25" customHeight="1" hidden="1">
      <c r="A42" s="1373"/>
      <c s="1373"/>
      <c s="1373"/>
      <c s="1373"/>
      <c s="1373"/>
      <c s="1373"/>
      <c s="1373"/>
      <c s="1373"/>
      <c s="1373"/>
      <c s="1373"/>
      <c s="1373"/>
      <c s="1367"/>
      <c s="1365"/>
      <c s="1365"/>
      <c s="1365"/>
      <c s="1249"/>
      <c s="1250"/>
      <c s="1257">
        <v>1</v>
      </c>
      <c s="1280" t="s">
        <v>109</v>
      </c>
      <c s="1258" t="s">
        <v>110</v>
      </c>
      <c s="1248" t="str">
        <f ca="1">OFFSET(U42,0,-1)</f>
        <v>2</v>
      </c>
      <c s="1338">
        <f ca="1">OFFSET(V42,0,-1)+1</f>
        <v>3</v>
      </c>
      <c s="1338"/>
      <c s="1338">
        <f ca="1">OFFSET(X42,0,-1)+1</f>
        <v>1</v>
      </c>
      <c s="1338">
        <f ca="1">OFFSET(Y42,0,-1)+1</f>
        <v>2</v>
      </c>
      <c s="1338">
        <f ca="1">OFFSET(Z42,0,-1)+1</f>
        <v>3</v>
      </c>
      <c s="2275">
        <f ca="1">OFFSET(AA42,0,-1)+1</f>
        <v>4</v>
      </c>
      <c s="2275"/>
      <c s="1338">
        <f ca="1">OFFSET(AC42,0,-2)+1</f>
        <v>5</v>
      </c>
      <c s="1338">
        <f ca="1">OFFSET(AD42,0,-1)+1</f>
        <v>6</v>
      </c>
      <c s="1338"/>
      <c s="1338">
        <f ca="1">OFFSET(AF42,0,-1)+1</f>
        <v>1</v>
      </c>
      <c s="1338">
        <f ca="1">OFFSET(AG42,0,-1)+1</f>
        <v>2</v>
      </c>
      <c s="1338">
        <f ca="1">OFFSET(AH42,0,-1)+1</f>
        <v>3</v>
      </c>
      <c s="2275">
        <f ca="1">OFFSET(AI42,0,-1)+1</f>
        <v>4</v>
      </c>
      <c s="2275"/>
      <c s="1338">
        <f ca="1">OFFSET(AK42,0,-2)+1</f>
        <v>5</v>
      </c>
      <c s="1248">
        <f ca="1">OFFSET(AL42,0,-1)</f>
        <v>5</v>
      </c>
      <c s="1338">
        <f ca="1">OFFSET(AM42,0,-1)+1</f>
        <v>6</v>
      </c>
      <c s="514"/>
      <c s="514"/>
      <c s="514"/>
      <c s="514"/>
      <c s="514"/>
      <c s="499">
        <v>0</v>
      </c>
    </row>
    <row r="43" spans="1:45" ht="22.05" customHeight="1">
      <c r="A43" s="1366" t="s">
        <v>182</v>
      </c>
      <c s="1366"/>
      <c s="1366"/>
      <c s="1366"/>
      <c s="2261">
        <v>1</v>
      </c>
      <c s="1366"/>
      <c s="1366"/>
      <c s="1366"/>
      <c s="1366"/>
      <c s="1366"/>
      <c s="1366"/>
      <c s="1367"/>
      <c s="1368"/>
      <c s="1368"/>
      <c s="1368"/>
      <c s="364"/>
      <c s="363"/>
      <c s="358"/>
      <c s="1339">
        <f>INDEX(PT_DIFFERENTIATION_NUM_NTAR,MATCH(A43,PT_DIFFERENTIATION_NTAR_ID,0))</f>
        <v>0</v>
      </c>
      <c s="301" t="s">
        <v>125</v>
      </c>
      <c s="303"/>
      <c s="2245"/>
      <c s="2246"/>
      <c s="2246"/>
      <c s="2246"/>
      <c s="2246"/>
      <c s="2246"/>
      <c s="2246"/>
      <c s="2247"/>
      <c s="2245" t="str">
        <f>INDEX(PT_DIFFERENTIATION_NTAR,MATCH(A43,PT_DIFFERENTIATION_NTAR_ID,0))</f>
        <v/>
      </c>
      <c s="2246"/>
      <c s="2246"/>
      <c s="2246"/>
      <c s="2246"/>
      <c s="2246"/>
      <c s="2246"/>
      <c s="2246"/>
      <c s="2247"/>
      <c s="1261"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3"/>
      <c s="503" t="str">
        <f>IF(T43="","",T43)</f>
        <v>Наименование тарифа</v>
      </c>
      <c s="503"/>
      <c s="503"/>
      <c s="1158">
        <v>21</v>
      </c>
    </row>
    <row r="44" spans="1:45" ht="22.05" customHeight="1">
      <c r="A44" s="1366" t="s">
        <v>182</v>
      </c>
      <c s="1366" t="s">
        <v>183</v>
      </c>
      <c s="1366"/>
      <c s="1366"/>
      <c s="2262"/>
      <c s="2261">
        <v>1</v>
      </c>
      <c s="1366"/>
      <c s="1366"/>
      <c s="1366"/>
      <c s="1366"/>
      <c s="1366"/>
      <c s="1367"/>
      <c s="1368"/>
      <c s="1368"/>
      <c s="1368"/>
      <c s="1335"/>
      <c s="355"/>
      <c s="356"/>
      <c s="1339" t="str">
        <f>INDEX(PT_DIFFERENTIATION_NUM_TER,MATCH(B44,PT_DIFFERENTIATION_TER_ID,0))</f>
        <v>.</v>
      </c>
      <c s="311" t="s">
        <v>397</v>
      </c>
      <c s="303"/>
      <c s="2245"/>
      <c s="2246"/>
      <c s="2246"/>
      <c s="2246"/>
      <c s="2246"/>
      <c s="2246"/>
      <c s="2246"/>
      <c s="2247"/>
      <c s="2245" t="str">
        <f>INDEX(PT_DIFFERENTIATION_TER,MATCH(B44,PT_DIFFERENTIATION_TER_ID,0))</f>
        <v/>
      </c>
      <c s="2246"/>
      <c s="2246"/>
      <c s="2246"/>
      <c s="2246"/>
      <c s="2246"/>
      <c s="2246"/>
      <c s="2246"/>
      <c s="2247"/>
      <c s="1261" t="s">
        <v>398</v>
      </c>
      <c r="AO44" s="503"/>
      <c s="503" t="str">
        <f>IF(T44="","",T44)</f>
        <v>Территория действия тарифа</v>
      </c>
      <c s="503"/>
      <c s="503"/>
      <c s="1158">
        <v>21</v>
      </c>
    </row>
    <row r="45" spans="1:45" ht="24" customHeight="1">
      <c r="A45" s="1366" t="s">
        <v>182</v>
      </c>
      <c s="1366" t="s">
        <v>183</v>
      </c>
      <c s="1366" t="s">
        <v>184</v>
      </c>
      <c s="1366"/>
      <c s="2262"/>
      <c s="2262"/>
      <c s="2261">
        <v>1</v>
      </c>
      <c s="1366"/>
      <c s="1366"/>
      <c s="1366"/>
      <c s="1366"/>
      <c s="1367"/>
      <c s="1368"/>
      <c s="1368"/>
      <c s="1368"/>
      <c s="357"/>
      <c s="355"/>
      <c s="356"/>
      <c s="1339" t="str">
        <f>INDEX(PT_DIFFERENTIATION_NUM_CS,MATCH(C45,PT_DIFFERENTIATION_CS_ID,0))</f>
        <v>..</v>
      </c>
      <c s="312" t="s">
        <v>399</v>
      </c>
      <c s="303"/>
      <c s="2245"/>
      <c s="2246"/>
      <c s="2246"/>
      <c s="2246"/>
      <c s="2246"/>
      <c s="2246"/>
      <c s="2246"/>
      <c s="2247"/>
      <c s="2245" t="str">
        <f>INDEX(PT_DIFFERENTIATION_CS,MATCH(C45,PT_DIFFERENTIATION_CS_ID,0))</f>
        <v/>
      </c>
      <c s="2246"/>
      <c s="2246"/>
      <c s="2246"/>
      <c s="2246"/>
      <c s="2246"/>
      <c s="2246"/>
      <c s="2246"/>
      <c s="2247"/>
      <c s="1261" t="s">
        <v>400</v>
      </c>
      <c r="AO45" s="503"/>
      <c s="503" t="str">
        <f>IF(T45="","",T45)</f>
        <v>Наименование системы теплоснабжения</v>
      </c>
      <c s="503"/>
      <c s="503"/>
      <c s="1158">
        <v>23</v>
      </c>
    </row>
    <row r="46" spans="1:45" ht="22.05" customHeight="1">
      <c r="A46" s="1366" t="s">
        <v>182</v>
      </c>
      <c s="1366" t="s">
        <v>183</v>
      </c>
      <c s="1366" t="s">
        <v>184</v>
      </c>
      <c s="1366" t="s">
        <v>185</v>
      </c>
      <c s="2262"/>
      <c s="2262"/>
      <c s="2262"/>
      <c s="2261">
        <v>1</v>
      </c>
      <c s="1366"/>
      <c s="1366"/>
      <c s="1366"/>
      <c s="1367"/>
      <c s="1368"/>
      <c s="1368"/>
      <c s="1368"/>
      <c s="357"/>
      <c s="355"/>
      <c s="356"/>
      <c s="1339" t="str">
        <f>INDEX(PT_DIFFERENTIATION_NUM_IST_TE,MATCH(D46,PT_DIFFERENTIATION_IST_TE_ID,0))</f>
        <v>...</v>
      </c>
      <c s="313" t="s">
        <v>401</v>
      </c>
      <c s="303"/>
      <c s="2245"/>
      <c s="2246"/>
      <c s="2246"/>
      <c s="2246"/>
      <c s="2246"/>
      <c s="2246"/>
      <c s="2246"/>
      <c s="2247"/>
      <c s="2245" t="str">
        <f>INDEX(PT_DIFFERENTIATION_IST_TE,MATCH(D46,PT_DIFFERENTIATION_IST_TE_ID,0))</f>
        <v/>
      </c>
      <c s="2246"/>
      <c s="2246"/>
      <c s="2246"/>
      <c s="2246"/>
      <c s="2246"/>
      <c s="2246"/>
      <c s="2246"/>
      <c s="2247"/>
      <c s="1261" t="s">
        <v>402</v>
      </c>
      <c r="AO46" s="503"/>
      <c s="503" t="str">
        <f>IF(T46="","",T46)</f>
        <v>Источник тепловой энергии</v>
      </c>
      <c s="503"/>
      <c s="503"/>
      <c s="1158">
        <v>21</v>
      </c>
    </row>
    <row r="47" spans="1:45" s="1645" customFormat="1" ht="0" customHeight="1">
      <c r="A47" s="1346" t="s">
        <v>182</v>
      </c>
      <c s="1346" t="s">
        <v>183</v>
      </c>
      <c s="1346" t="s">
        <v>184</v>
      </c>
      <c s="1346" t="s">
        <v>185</v>
      </c>
      <c s="2262"/>
      <c s="2262"/>
      <c s="2262"/>
      <c s="2262"/>
      <c s="2259" t="str">
        <f>S46&amp;".1"</f>
        <v>....1</v>
      </c>
      <c s="1346"/>
      <c s="1346"/>
      <c s="1349" t="s">
        <v>403</v>
      </c>
      <c s="513"/>
      <c s="513"/>
      <c s="513"/>
      <c s="2260">
        <v>1</v>
      </c>
      <c s="1334"/>
      <c s="359"/>
      <c s="1045"/>
      <c s="1386"/>
      <c s="1387"/>
      <c s="2299"/>
      <c s="2300"/>
      <c s="2300"/>
      <c s="2300"/>
      <c s="2300"/>
      <c s="2300"/>
      <c s="2300"/>
      <c s="2301"/>
      <c s="2299"/>
      <c s="2300"/>
      <c s="2300"/>
      <c s="2300"/>
      <c s="2300"/>
      <c s="2300"/>
      <c s="2300"/>
      <c s="2300"/>
      <c s="2301"/>
      <c s="1388"/>
      <c r="AO47" s="503"/>
      <c s="503" t="str">
        <f>IF(T47="","",T47)</f>
        <v/>
      </c>
      <c s="503"/>
      <c s="503"/>
      <c s="514">
        <v>0</v>
      </c>
    </row>
    <row r="48" spans="1:45" ht="22.05" customHeight="1">
      <c r="A48" s="1366" t="s">
        <v>182</v>
      </c>
      <c s="1366" t="s">
        <v>183</v>
      </c>
      <c s="1366" t="s">
        <v>184</v>
      </c>
      <c s="1366" t="s">
        <v>185</v>
      </c>
      <c s="2262"/>
      <c s="2262"/>
      <c s="2262"/>
      <c s="2262"/>
      <c s="2289"/>
      <c s="2259" t="str">
        <f>S46&amp;".1"</f>
        <v>....1</v>
      </c>
      <c s="1366"/>
      <c s="1367" t="s">
        <v>406</v>
      </c>
      <c r="P48" s="2260"/>
      <c s="2260">
        <v>1</v>
      </c>
      <c s="360"/>
      <c s="1339" t="str">
        <f>$J48</f>
        <v>....1</v>
      </c>
      <c s="289" t="s">
        <v>407</v>
      </c>
      <c s="303"/>
      <c s="2248"/>
      <c s="2249"/>
      <c s="2249"/>
      <c s="2249"/>
      <c s="2249"/>
      <c s="2249"/>
      <c s="2249"/>
      <c s="2250"/>
      <c s="2248"/>
      <c s="2249"/>
      <c s="2249"/>
      <c s="2249"/>
      <c s="2249"/>
      <c s="2249"/>
      <c s="2249"/>
      <c s="2249"/>
      <c s="2250"/>
      <c s="1261" t="s">
        <v>408</v>
      </c>
      <c r="AO48" s="503"/>
      <c s="503" t="str">
        <f>IF(T48="","",T48)</f>
        <v>Группа потребителей</v>
      </c>
      <c s="503"/>
      <c s="503"/>
      <c s="1158">
        <v>21</v>
      </c>
    </row>
    <row r="49" spans="1:45" ht="22.05" customHeight="1">
      <c r="A49" s="1366" t="s">
        <v>182</v>
      </c>
      <c s="1366" t="s">
        <v>183</v>
      </c>
      <c s="1366" t="s">
        <v>184</v>
      </c>
      <c s="1366" t="s">
        <v>185</v>
      </c>
      <c s="2262"/>
      <c s="2262"/>
      <c s="2262"/>
      <c s="2262"/>
      <c s="2289"/>
      <c s="2289"/>
      <c s="2259" t="str">
        <f>J48&amp;".1"</f>
        <v>....1.1</v>
      </c>
      <c s="1367" t="s">
        <v>409</v>
      </c>
      <c r="P49" s="2260"/>
      <c s="2260"/>
      <c s="360">
        <v>1</v>
      </c>
      <c s="1339" t="str">
        <f>$K49</f>
        <v>....1.1</v>
      </c>
      <c s="1350"/>
      <c s="303"/>
      <c s="754"/>
      <c s="328"/>
      <c s="754"/>
      <c s="1260"/>
      <c s="2268"/>
      <c s="2110" t="s">
        <v>65</v>
      </c>
      <c s="2268"/>
      <c s="2110" t="s">
        <v>65</v>
      </c>
      <c s="754"/>
      <c s="328"/>
      <c s="754"/>
      <c s="1260"/>
      <c s="2268"/>
      <c s="2110" t="s">
        <v>65</v>
      </c>
      <c s="2290"/>
      <c s="2110" t="s">
        <v>65</v>
      </c>
      <c s="1351"/>
      <c s="2256" t="s">
        <v>451</v>
      </c>
      <c s="514">
        <f>STRCHECKDATE(V50:AL50)</f>
      </c>
      <c s="503"/>
      <c s="503" t="str">
        <f>IF(T49="","",T49)</f>
        <v/>
      </c>
      <c s="503"/>
      <c s="503"/>
      <c s="1158">
        <v>21</v>
      </c>
    </row>
    <row r="50" spans="1:45" ht="1.05" customHeight="1">
      <c r="A50" s="1366" t="s">
        <v>182</v>
      </c>
      <c s="1366" t="s">
        <v>183</v>
      </c>
      <c s="1366" t="s">
        <v>184</v>
      </c>
      <c s="1366" t="s">
        <v>185</v>
      </c>
      <c s="2262"/>
      <c s="2262"/>
      <c s="2262"/>
      <c s="2262"/>
      <c s="2289"/>
      <c s="2289"/>
      <c s="2259"/>
      <c s="1367"/>
      <c r="P50" s="2260"/>
      <c s="2260"/>
      <c s="360"/>
      <c s="1345"/>
      <c s="303"/>
      <c s="303"/>
      <c s="328"/>
      <c s="328"/>
      <c s="328"/>
      <c s="331" t="str">
        <f>Z49&amp;"-"&amp;AB49</f>
        <v>-</v>
      </c>
      <c s="2269"/>
      <c s="2110"/>
      <c s="2269"/>
      <c s="2110"/>
      <c s="328"/>
      <c s="328"/>
      <c s="328"/>
      <c s="331" t="str">
        <f>AH49&amp;"-"&amp;AJ49</f>
        <v>-</v>
      </c>
      <c s="2269"/>
      <c s="2110"/>
      <c s="2291"/>
      <c s="2110"/>
      <c s="1352"/>
      <c s="2257"/>
      <c r="AO50" s="503"/>
      <c s="503" t="str">
        <f>IF(T50="","",T50)</f>
        <v/>
      </c>
      <c s="503"/>
      <c s="503"/>
      <c s="1158">
        <v>1</v>
      </c>
    </row>
    <row r="51" spans="1:45" ht="11.55" customHeight="1">
      <c r="A51" s="1366" t="s">
        <v>182</v>
      </c>
      <c s="1366" t="s">
        <v>183</v>
      </c>
      <c s="1366" t="s">
        <v>184</v>
      </c>
      <c s="1366" t="s">
        <v>185</v>
      </c>
      <c s="2262"/>
      <c s="2262"/>
      <c s="2262"/>
      <c s="2262"/>
      <c s="2289"/>
      <c s="2259"/>
      <c s="1366"/>
      <c s="1367"/>
      <c r="P51" s="2260"/>
      <c s="2260"/>
      <c s="359"/>
      <c s="1281"/>
      <c s="290" t="s">
        <v>411</v>
      </c>
      <c s="370"/>
      <c s="370"/>
      <c s="370"/>
      <c s="370"/>
      <c s="370"/>
      <c s="370"/>
      <c s="370"/>
      <c s="370"/>
      <c s="370"/>
      <c s="370"/>
      <c s="370"/>
      <c s="370"/>
      <c s="370"/>
      <c s="370"/>
      <c s="370"/>
      <c s="370"/>
      <c s="370"/>
      <c s="327"/>
      <c s="2258"/>
      <c r="AO51" s="503"/>
      <c s="503" t="str">
        <f>IF(T51="","",T51)</f>
        <v>Добавить вид теплоносителя (параметры теплоносителя)</v>
      </c>
      <c s="503"/>
      <c s="503"/>
      <c s="1158">
        <v>11</v>
      </c>
    </row>
    <row r="52" spans="1:45" ht="11.55" customHeight="1">
      <c r="A52" s="1366" t="s">
        <v>182</v>
      </c>
      <c s="1366" t="s">
        <v>183</v>
      </c>
      <c s="1366" t="s">
        <v>184</v>
      </c>
      <c s="1366" t="s">
        <v>185</v>
      </c>
      <c s="2262"/>
      <c s="2262"/>
      <c s="2262"/>
      <c s="2262"/>
      <c s="2259"/>
      <c s="1366"/>
      <c s="1366"/>
      <c s="1367"/>
      <c r="P52" s="2260"/>
      <c s="1334"/>
      <c s="359"/>
      <c s="1281"/>
      <c s="368" t="s">
        <v>412</v>
      </c>
      <c s="370"/>
      <c s="370"/>
      <c s="370"/>
      <c s="370"/>
      <c s="370"/>
      <c s="370"/>
      <c s="370"/>
      <c s="370"/>
      <c s="369"/>
      <c s="370"/>
      <c s="370"/>
      <c s="370"/>
      <c s="370"/>
      <c s="370"/>
      <c s="370"/>
      <c s="370"/>
      <c s="369"/>
      <c s="370"/>
      <c s="306"/>
      <c r="AO52" s="503"/>
      <c s="503" t="str">
        <f>IF(T52="","",T52)</f>
        <v>Добавить группу потребителей</v>
      </c>
      <c s="503"/>
      <c s="503"/>
      <c s="1158">
        <v>11</v>
      </c>
    </row>
    <row r="53" spans="1:45" ht="0" customHeight="1">
      <c r="A53" s="1366" t="s">
        <v>182</v>
      </c>
      <c s="1366" t="s">
        <v>183</v>
      </c>
      <c s="1366" t="s">
        <v>184</v>
      </c>
      <c s="1366" t="s">
        <v>185</v>
      </c>
      <c s="2262"/>
      <c s="2262"/>
      <c s="2262"/>
      <c s="2261"/>
      <c s="1366"/>
      <c s="1366"/>
      <c s="1366"/>
      <c s="1367"/>
      <c s="1368"/>
      <c s="1368"/>
      <c s="540"/>
      <c s="363"/>
      <c s="378"/>
      <c s="358"/>
      <c s="1389"/>
      <c s="1390"/>
      <c s="1391"/>
      <c s="1391"/>
      <c s="1391"/>
      <c s="1391"/>
      <c s="1391"/>
      <c s="1391"/>
      <c s="1391"/>
      <c s="1391"/>
      <c s="1391"/>
      <c s="1391"/>
      <c s="1391"/>
      <c s="1391"/>
      <c s="1391"/>
      <c s="1391"/>
      <c s="1391"/>
      <c s="1391"/>
      <c s="1391"/>
      <c s="1391"/>
      <c s="1392"/>
      <c r="AO53" s="503"/>
      <c s="503" t="str">
        <f>IF(T53="","",T53)</f>
        <v/>
      </c>
      <c s="503"/>
      <c s="503"/>
      <c s="1158">
        <v>0</v>
      </c>
    </row>
    <row r="54" spans="1:45" s="1645" customFormat="1" ht="1.05" customHeight="1">
      <c r="A54" s="1346" t="s">
        <v>182</v>
      </c>
      <c s="1346" t="s">
        <v>183</v>
      </c>
      <c s="1346" t="s">
        <v>184</v>
      </c>
      <c s="1317"/>
      <c s="2262"/>
      <c s="2262"/>
      <c s="2261"/>
      <c s="1317"/>
      <c s="1317"/>
      <c s="1317"/>
      <c s="1317"/>
      <c s="1342"/>
      <c s="1318"/>
      <c s="1318"/>
      <c r="P54" s="1319"/>
      <c s="1320"/>
      <c s="1319"/>
      <c s="1325"/>
      <c s="1328" t="s">
        <v>414</v>
      </c>
      <c s="1327"/>
      <c s="1327"/>
      <c s="1327"/>
      <c s="1327"/>
      <c s="1327"/>
      <c s="1327"/>
      <c s="1327"/>
      <c s="1327"/>
      <c s="1327"/>
      <c s="1327"/>
      <c s="1327"/>
      <c s="1327"/>
      <c s="1327"/>
      <c s="1327"/>
      <c s="1327"/>
      <c s="1327"/>
      <c s="1327"/>
      <c s="1327"/>
      <c s="1327"/>
      <c r="AO54" s="792"/>
      <c s="792" t="str">
        <f>IF(T54="","",T54)</f>
        <v>Добавить источник для дифференциации</v>
      </c>
      <c s="792"/>
      <c s="792"/>
      <c s="521">
        <v>1</v>
      </c>
    </row>
    <row r="55" spans="1:45" s="1645" customFormat="1" ht="1.05" customHeight="1">
      <c r="A55" s="1346" t="s">
        <v>182</v>
      </c>
      <c s="1346" t="s">
        <v>183</v>
      </c>
      <c s="1317"/>
      <c s="1317"/>
      <c s="2262"/>
      <c s="2261"/>
      <c s="1317"/>
      <c s="1317"/>
      <c s="1317"/>
      <c s="1317"/>
      <c s="1317"/>
      <c s="1342"/>
      <c s="1324"/>
      <c s="1324"/>
      <c r="P55" s="1319"/>
      <c s="1320"/>
      <c s="1319"/>
      <c s="1325"/>
      <c s="1328" t="s">
        <v>415</v>
      </c>
      <c s="1327"/>
      <c s="1327"/>
      <c s="1327"/>
      <c s="1327"/>
      <c s="1327"/>
      <c s="1327"/>
      <c s="1327"/>
      <c s="1327"/>
      <c s="1327"/>
      <c s="1327"/>
      <c s="1327"/>
      <c s="1327"/>
      <c s="1327"/>
      <c s="1327"/>
      <c s="1327"/>
      <c s="1327"/>
      <c s="1327"/>
      <c s="1327"/>
      <c s="1327"/>
      <c r="AO55" s="792"/>
      <c s="792" t="str">
        <f>IF(T55="","",T55)</f>
        <v>Добавить централизованную систему для дифференциации</v>
      </c>
      <c s="792"/>
      <c s="792"/>
      <c s="521">
        <v>1</v>
      </c>
    </row>
    <row r="56" spans="1:45" s="1645" customFormat="1" ht="1.05" customHeight="1">
      <c r="A56" s="1346" t="s">
        <v>182</v>
      </c>
      <c s="1346"/>
      <c s="1346"/>
      <c s="1346"/>
      <c s="2261"/>
      <c s="1346"/>
      <c s="1346"/>
      <c s="1346"/>
      <c s="1346"/>
      <c s="1346"/>
      <c s="1346"/>
      <c s="1349"/>
      <c s="1324"/>
      <c s="1324"/>
      <c s="521"/>
      <c s="383"/>
      <c s="1347"/>
      <c s="383"/>
      <c s="1325"/>
      <c s="1328" t="s">
        <v>416</v>
      </c>
      <c s="1327"/>
      <c s="1327"/>
      <c s="1327"/>
      <c s="1327"/>
      <c s="1327"/>
      <c s="1327"/>
      <c s="1327"/>
      <c s="1327"/>
      <c s="1327"/>
      <c s="1327"/>
      <c s="1327"/>
      <c s="1327"/>
      <c s="1327"/>
      <c s="1327"/>
      <c s="1327"/>
      <c s="1327"/>
      <c s="1327"/>
      <c s="1327"/>
      <c s="1327"/>
      <c r="AO56" s="503"/>
      <c s="503" t="str">
        <f>IF(T56="","",T56)</f>
        <v>Добавить территорию для дифференциации</v>
      </c>
      <c s="503"/>
      <c s="503"/>
      <c s="514">
        <v>1</v>
      </c>
    </row>
    <row r="57" spans="1:45" s="1645" customFormat="1" ht="1.05" customHeight="1">
      <c r="A57" s="1317"/>
      <c s="1317"/>
      <c s="1317"/>
      <c s="1317"/>
      <c s="1346"/>
      <c s="1317"/>
      <c s="1317"/>
      <c s="1317"/>
      <c s="1317"/>
      <c s="1317"/>
      <c s="1317"/>
      <c s="1342"/>
      <c s="1324"/>
      <c s="1324"/>
      <c r="P57" s="1319"/>
      <c s="1320"/>
      <c s="1319"/>
      <c s="1325"/>
      <c s="1328" t="s">
        <v>448</v>
      </c>
      <c s="1327"/>
      <c s="1327"/>
      <c s="1327"/>
      <c s="1327"/>
      <c s="1327"/>
      <c s="1327"/>
      <c s="1327"/>
      <c s="1327"/>
      <c s="1327"/>
      <c s="1327"/>
      <c s="1327"/>
      <c s="1327"/>
      <c s="1327"/>
      <c s="1327"/>
      <c s="1327"/>
      <c s="1327"/>
      <c s="1327"/>
      <c s="1327"/>
      <c s="1327"/>
      <c r="AO57" s="792"/>
      <c s="792" t="str">
        <f>IF(T57="","",T57)</f>
        <v>Добавить наименование тарифа</v>
      </c>
      <c s="792"/>
      <c s="792"/>
      <c s="521">
        <v>1</v>
      </c>
    </row>
    <row r="58" spans="13:45" ht="11.55" customHeight="1">
      <c r="M58" s="1163"/>
      <c s="1163"/>
      <c s="540"/>
      <c s="1158"/>
      <c s="1158"/>
      <c s="1158"/>
      <c s="1158"/>
      <c r="AN58" s="1158"/>
      <c s="1158"/>
      <c s="1158"/>
      <c s="1158"/>
      <c s="1158"/>
      <c s="1158">
        <v>11</v>
      </c>
    </row>
    <row r="59" spans="15:45" ht="23.25" customHeight="1">
      <c r="O59" s="540"/>
      <c r="S59" s="1256"/>
      <c s="2288"/>
      <c s="2288"/>
      <c s="2288"/>
      <c s="2288"/>
      <c s="2288"/>
      <c s="2288"/>
      <c s="2288"/>
      <c s="2288"/>
      <c s="2288"/>
      <c s="2288"/>
      <c s="2288"/>
      <c s="2288"/>
      <c s="2288"/>
      <c s="2288"/>
      <c s="2288"/>
      <c s="2288"/>
      <c s="2288"/>
      <c s="2288"/>
      <c s="2288"/>
      <c s="2288"/>
      <c r="AS59" s="1158">
        <v>22</v>
      </c>
    </row>
    <row r="60" spans="15:45" ht="30.45" customHeight="1">
      <c r="O60" s="540"/>
      <c r="T60" s="2288"/>
      <c s="2288"/>
      <c s="2288"/>
      <c s="2288"/>
      <c s="2288"/>
      <c s="2288"/>
      <c s="2288"/>
      <c s="2288"/>
      <c s="2288"/>
      <c s="2288"/>
      <c s="2288"/>
      <c s="2288"/>
      <c s="2288"/>
      <c s="2288"/>
      <c s="2288"/>
      <c s="2288"/>
      <c s="2288"/>
      <c s="2288"/>
      <c s="2288"/>
      <c s="2288"/>
      <c r="AS60" s="1158">
        <v>29</v>
      </c>
    </row>
    <row r="61" spans="15:45" ht="42" customHeight="1">
      <c r="O61" s="540"/>
      <c r="T61" s="2288"/>
      <c s="2288"/>
      <c s="2288"/>
      <c s="2288"/>
      <c s="2288"/>
      <c s="2288"/>
      <c s="2288"/>
      <c s="2288"/>
      <c s="2288"/>
      <c s="2288"/>
      <c s="2288"/>
      <c s="2288"/>
      <c s="2288"/>
      <c s="2288"/>
      <c s="2288"/>
      <c s="2288"/>
      <c s="2288"/>
      <c s="2288"/>
      <c s="2288"/>
      <c s="2288"/>
      <c r="AS61" s="1158">
        <v>40</v>
      </c>
    </row>
    <row r="62" spans="15:45" ht="14.7" customHeight="1">
      <c r="O62" s="540"/>
      <c r="AS62" s="1158">
        <v>14</v>
      </c>
    </row>
    <row r="63" spans="15:45" ht="21" customHeight="1">
      <c r="O63" s="540"/>
      <c r="S63" s="1256"/>
      <c s="2302"/>
      <c s="2288"/>
      <c s="2288"/>
      <c s="2288"/>
      <c s="2288"/>
      <c s="2288"/>
      <c s="2288"/>
      <c s="2288"/>
      <c s="2288"/>
      <c s="2288"/>
      <c s="2288"/>
      <c s="2288"/>
      <c s="2288"/>
      <c s="2288"/>
      <c s="2288"/>
      <c s="2288"/>
      <c s="2288"/>
      <c s="2288"/>
      <c s="2288"/>
      <c s="2288"/>
      <c r="AS63" s="1158">
        <v>20</v>
      </c>
    </row>
    <row r="64" spans="15:45" ht="29.25" customHeight="1">
      <c r="O64" s="540"/>
      <c r="T64" s="2288"/>
      <c s="2288"/>
      <c s="2288"/>
      <c s="2288"/>
      <c s="2288"/>
      <c s="2288"/>
      <c s="2288"/>
      <c s="2288"/>
      <c s="2288"/>
      <c s="2288"/>
      <c s="2288"/>
      <c s="2288"/>
      <c s="2288"/>
      <c s="2288"/>
      <c s="2288"/>
      <c s="2288"/>
      <c s="2288"/>
      <c s="2288"/>
      <c s="2288"/>
      <c s="2288"/>
      <c r="AS64" s="1158">
        <v>28</v>
      </c>
    </row>
    <row r="65" spans="20:45" ht="35.7" customHeight="1">
      <c r="T65" s="2288"/>
      <c s="2288"/>
      <c s="2288"/>
      <c s="2288"/>
      <c s="2288"/>
      <c s="2288"/>
      <c s="2288"/>
      <c s="2288"/>
      <c s="2288"/>
      <c s="2288"/>
      <c s="2288"/>
      <c s="2288"/>
      <c s="2288"/>
      <c s="2288"/>
      <c s="2288"/>
      <c s="2288"/>
      <c s="2288"/>
      <c s="2288"/>
      <c s="2288"/>
      <c s="2288"/>
      <c r="AS65" s="1158">
        <v>34</v>
      </c>
    </row>
    <row r="66" spans="1:45" ht="22.5" customHeight="1" hidden="1">
      <c r="A66" s="1163" t="s">
        <v>81</v>
      </c>
      <c s="1163">
        <v>0</v>
      </c>
      <c s="1163">
        <v>0</v>
      </c>
      <c s="1163">
        <v>0</v>
      </c>
      <c s="1163">
        <v>0</v>
      </c>
      <c s="1163">
        <v>0</v>
      </c>
      <c s="1163">
        <v>0</v>
      </c>
      <c s="1163">
        <v>0</v>
      </c>
      <c s="1163">
        <v>0</v>
      </c>
      <c s="1163">
        <v>0</v>
      </c>
      <c s="1163">
        <v>0</v>
      </c>
      <c s="1332">
        <v>0</v>
      </c>
      <c s="1365">
        <v>0</v>
      </c>
      <c s="1365">
        <v>0</v>
      </c>
      <c s="1365">
        <v>0</v>
      </c>
      <c s="1331">
        <v>0</v>
      </c>
      <c s="347">
        <v>3</v>
      </c>
      <c s="347">
        <v>3</v>
      </c>
      <c s="584">
        <v>12</v>
      </c>
      <c s="1158">
        <v>31</v>
      </c>
      <c s="1158">
        <v>0</v>
      </c>
      <c s="1158">
        <v>0</v>
      </c>
      <c s="1158">
        <v>0</v>
      </c>
      <c s="1158">
        <v>0</v>
      </c>
      <c s="1158">
        <v>0</v>
      </c>
      <c s="1158">
        <v>0</v>
      </c>
      <c s="1158">
        <v>0</v>
      </c>
      <c s="1158">
        <v>0</v>
      </c>
      <c s="1158">
        <v>0</v>
      </c>
      <c s="1158">
        <v>24</v>
      </c>
      <c s="1158">
        <v>0</v>
      </c>
      <c s="1158">
        <v>24</v>
      </c>
      <c s="1158">
        <v>24</v>
      </c>
      <c s="1158">
        <v>11</v>
      </c>
      <c s="1158">
        <v>3</v>
      </c>
      <c s="1158">
        <v>11</v>
      </c>
      <c s="1158">
        <v>0</v>
      </c>
      <c s="1158">
        <v>4</v>
      </c>
      <c s="1158">
        <v>115</v>
      </c>
      <c s="514">
        <v>10</v>
      </c>
      <c s="514">
        <v>10</v>
      </c>
      <c s="514">
        <v>10</v>
      </c>
      <c s="514">
        <v>10</v>
      </c>
      <c s="514">
        <v>10</v>
      </c>
      <c s="1158">
        <v>23</v>
      </c>
    </row>
  </sheetData>
  <sheetProtection formatColumns="0" formatRows="0" insertRows="0" deleteColumns="0" deleteRows="0" sort="0" autoFilter="0"/>
  <mergeCells count="113">
    <mergeCell ref="T63:AM63"/>
    <mergeCell ref="T64:AM64"/>
    <mergeCell ref="T65:AM65"/>
    <mergeCell ref="AM49:AM51"/>
    <mergeCell ref="T59:AM59"/>
    <mergeCell ref="T60:AM60"/>
    <mergeCell ref="T61:AM61"/>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S30:T30"/>
    <mergeCell ref="V30:AB30"/>
    <mergeCell ref="AD30:AJ30"/>
    <mergeCell ref="S31:T31"/>
    <mergeCell ref="V31:AB31"/>
    <mergeCell ref="AD31:AJ31"/>
    <mergeCell ref="S26:AJ26"/>
    <mergeCell ref="S27:AJ27"/>
    <mergeCell ref="S29:T29"/>
    <mergeCell ref="V29:AB29"/>
    <mergeCell ref="AD29:AJ29"/>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sqref="S65587:AM65593 S131123:AM131129 S196659:AM196665 S262195:AM262201 S327731:AM327737 S393267:AM393273 S458803:AM458809 S524339:AM524345 S589875:AM589881 S655411:AM655417 S720947:AM720953 S786483:AM786489 S852019:AM852025 S917555:AM917561 S983091:AM983097"/>
    <dataValidation type="list" allowBlank="1" showInputMessage="1" prompt="Выберите значение из списка" errorTitle="Ошибка" error="Выберите значение из списка" sqref="V65584:AL65584 V983088:AL983088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65583:W65583 V983087:W983087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8 Z65585 Z131121 Z196657 Z262193 Z327729 Z393265 Z458801 Z524337 Z589873 Z655409 Z720945 Z786481 Z852017 Z917553 Z983089 AB65585 AB131121 AB196657 AB262193 AB327729 AB393265 AB458801 AB524337 AB589873 AB655409 AB720945 AB786481 AB852017 AB917553 AB983089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8 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49 AK524337 AK8 AK589873 AK655409 AK17 AK720945 AK786481 AK852017 AK917553 AK983089 AK65585 AK131121 AK458801 AK196657 AI49 AK262193 AI8 AC8 AI17 AK327729 AA49 AC49 AK393265"/>
    <dataValidation allowBlank="1" promptTitle="checkPeriodRange" sqref="Y9 Y65586 Y131122 Y196658 Y262194 Y327730 Y393266 Y458802 Y524338 Y589874 Y655410 Y720946 Y786482 Y852018 Y917554 Y983090 AG65586 AG131122 AG196658 AG262194 AG327730 AG393266 AG458802 AG524338 AG589874 AG655410 AG720946 AG786482 AG852018 AG917554 AG983090 AG9 Y50 AG18 AG50"/>
  </dataValidations>
  <pageMargins left="0.7" right="0.7" top="0.75" bottom="0.75" header="0.3" footer="0.3"/>
  <pageSetup orientation="portrait" paperSize="9"/>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m="http://schemas.microsoft.com/office/excel/2006/main" xmlns:x14ac="http://schemas.microsoft.com/office/spreadsheetml/2009/9/ac" xmlns:xr="http://schemas.microsoft.com/office/spreadsheetml/2014/revision" xmlns:xr2="http://schemas.microsoft.com/office/spreadsheetml/2015/revision2" xmlns:xr3="http://schemas.microsoft.com/office/spreadsheetml/2016/revision3" xr:uid="{4887045E-8BE1-2CE5-EA98-A5FFEDC9F255}" mc:Ignorable="x14ac xr xr2 xr3">
  <sheetPr>
    <tabColor theme="6" tint="0.400000005960464"/>
  </sheetPr>
  <dimension ref="A1:AS66"/>
  <sheetViews>
    <sheetView showGridLines="0" zoomScale="90" zoomScaleNormal="90" workbookViewId="0" topLeftCell="A1">
      <pane xSplit="29" ySplit="42" topLeftCell="AD43" activePane="bottomRight" state="frozen"/>
      <selection pane="topLeft" activeCell="A1" sqref="A1"/>
      <selection pane="bottomLeft" activeCell="A43" sqref="A43"/>
      <selection pane="topRight" activeCell="AD1" sqref="AD1"/>
      <selection pane="bottomRight" activeCell="A1" sqref="A1"/>
    </sheetView>
  </sheetViews>
  <sheetFormatPr defaultColWidth="10.5742857142857" defaultRowHeight="14.25" customHeight="1"/>
  <cols>
    <col min="1" max="1" width="10.5714285714286" style="1369" hidden="1"/>
    <col min="2" max="2" width="11" style="1369" hidden="1" customWidth="1"/>
    <col min="3" max="3" width="10.5714285714286" style="1369" hidden="1"/>
    <col min="4" max="4" width="11.8571428571429" style="1369" hidden="1" customWidth="1"/>
    <col min="5" max="5" width="10" style="1369" hidden="1" customWidth="1"/>
    <col min="6" max="6" width="8.71428571428571" style="1369" hidden="1" customWidth="1"/>
    <col min="7" max="7" width="7.57142857142857" style="1369" hidden="1" customWidth="1"/>
    <col min="8" max="8" width="11.4285714285714" style="1369" hidden="1" customWidth="1"/>
    <col min="9" max="9" width="12" style="1369" hidden="1" customWidth="1"/>
    <col min="10" max="10" width="9.85714285714286" style="1369" hidden="1" customWidth="1"/>
    <col min="11" max="11" width="11.4285714285714" style="1369" hidden="1" customWidth="1"/>
    <col min="12" max="12" width="19.1428571428571" style="2610" hidden="1" customWidth="1"/>
    <col min="13" max="14" width="12.2857142857143" style="1779" hidden="1" customWidth="1"/>
    <col min="15" max="15" width="23.4285714285714" style="1779" hidden="1" customWidth="1"/>
    <col min="16" max="16" width="3.71428571428571" style="2400" hidden="1" customWidth="1"/>
    <col min="17" max="18" width="3" style="347" customWidth="1"/>
    <col min="19" max="19" width="12" style="2410" customWidth="1"/>
    <col min="20" max="20" width="31" style="1638" customWidth="1"/>
    <col min="21" max="21" width="0.142857142857143" style="1638" customWidth="1"/>
    <col min="22" max="22" width="24.7142857142857" style="1638" hidden="1" customWidth="1"/>
    <col min="23" max="23" width="0.142857142857143" style="1638" hidden="1" customWidth="1"/>
    <col min="24" max="25" width="24.7142857142857" style="1638" hidden="1" customWidth="1"/>
    <col min="26" max="26" width="11.7142857142857" style="1638" hidden="1" customWidth="1"/>
    <col min="27" max="27" width="3.71428571428571" style="1638" hidden="1" customWidth="1"/>
    <col min="28" max="28" width="11.7142857142857" style="1638" hidden="1" customWidth="1"/>
    <col min="29" max="29" width="8.57142857142857" style="1638" hidden="1" customWidth="1"/>
    <col min="30" max="30" width="24.7142857142857" style="1638" customWidth="1"/>
    <col min="31" max="31" width="0.142857142857143" style="1638" customWidth="1"/>
    <col min="32" max="33" width="24" style="1638" customWidth="1"/>
    <col min="34" max="34" width="11" style="1638" customWidth="1"/>
    <col min="35" max="35" width="3.71428571428571" style="1638" customWidth="1"/>
    <col min="36" max="36" width="11" style="1638" customWidth="1"/>
    <col min="37" max="37" width="8.57142857142857" style="1638" hidden="1" customWidth="1"/>
    <col min="38" max="38" width="4" style="1638" customWidth="1"/>
    <col min="39" max="39" width="115" style="1638" customWidth="1"/>
    <col min="40" max="44" width="10" style="1645" customWidth="1"/>
    <col min="45" max="45" width="10.5714285714286" style="1638" hidden="1"/>
  </cols>
  <sheetData>
    <row r="1" spans="25:45" ht="22.5" customHeight="1" hidden="1">
      <c r="Y1" s="330"/>
      <c s="330"/>
      <c r="AG1" s="330"/>
      <c s="330"/>
      <c r="AS1" s="1158" t="s">
        <v>14</v>
      </c>
    </row>
    <row r="2" spans="1:45" ht="21" customHeight="1" hidden="1">
      <c r="A2" s="1366"/>
      <c s="1366"/>
      <c s="1366"/>
      <c s="1366"/>
      <c s="2261">
        <v>1</v>
      </c>
      <c s="1366"/>
      <c s="1366"/>
      <c s="1366"/>
      <c s="1366"/>
      <c s="1366"/>
      <c s="1366"/>
      <c s="1367"/>
      <c s="1368"/>
      <c s="1368"/>
      <c s="1368"/>
      <c s="364"/>
      <c s="363"/>
      <c s="358"/>
      <c s="1339">
        <f>INDEX(PT_DIFFERENTIATION_NUM_NTAR,MATCH(A2,PT_DIFFERENTIATION_NTAR_ID,0))</f>
      </c>
      <c s="301" t="s">
        <v>125</v>
      </c>
      <c s="303"/>
      <c s="2245"/>
      <c s="2246"/>
      <c s="2246"/>
      <c s="2246"/>
      <c s="2246"/>
      <c s="2246"/>
      <c s="2246"/>
      <c s="2247"/>
      <c s="2245">
        <f>INDEX(PT_DIFFERENTIATION_NTAR,MATCH(A2,PT_DIFFERENTIATION_NTAR_ID,0))</f>
      </c>
      <c s="2246"/>
      <c s="2246"/>
      <c s="2246"/>
      <c s="2246"/>
      <c s="2246"/>
      <c s="2246"/>
      <c s="2246"/>
      <c s="2247"/>
      <c s="1261" t="s">
        <v>396</v>
      </c>
      <c r="AO2" s="503"/>
      <c s="503" t="str">
        <f>IF(T2="","",T2)</f>
        <v>Наименование тарифа</v>
      </c>
      <c s="503"/>
      <c s="503"/>
      <c s="1158">
        <v>0</v>
      </c>
    </row>
    <row r="3" spans="1:45" ht="21" customHeight="1" hidden="1">
      <c r="A3" s="1366"/>
      <c s="1366"/>
      <c s="1366"/>
      <c s="1366"/>
      <c s="2262"/>
      <c s="2261">
        <v>1</v>
      </c>
      <c s="1366"/>
      <c s="1366"/>
      <c s="1366"/>
      <c s="1366"/>
      <c s="1366"/>
      <c s="1367"/>
      <c s="1368"/>
      <c s="1368"/>
      <c s="1368"/>
      <c s="1335"/>
      <c s="355"/>
      <c s="356"/>
      <c s="1339">
        <f>INDEX(PT_DIFFERENTIATION_NUM_TER,MATCH(B3,PT_DIFFERENTIATION_TER_ID,0))</f>
      </c>
      <c s="311" t="s">
        <v>397</v>
      </c>
      <c s="303"/>
      <c s="2245"/>
      <c s="2246"/>
      <c s="2246"/>
      <c s="2246"/>
      <c s="2246"/>
      <c s="2246"/>
      <c s="2246"/>
      <c s="2247"/>
      <c s="2245">
        <f>INDEX(PT_DIFFERENTIATION_TER,MATCH(B3,PT_DIFFERENTIATION_TER_ID,0))</f>
      </c>
      <c s="2246"/>
      <c s="2246"/>
      <c s="2246"/>
      <c s="2246"/>
      <c s="2246"/>
      <c s="2246"/>
      <c s="2246"/>
      <c s="2247"/>
      <c s="1261" t="s">
        <v>398</v>
      </c>
      <c r="AO3" s="503"/>
      <c s="503" t="str">
        <f>IF(T3="","",T3)</f>
        <v>Территория действия тарифа</v>
      </c>
      <c s="503"/>
      <c s="503"/>
      <c s="1158">
        <v>0</v>
      </c>
    </row>
    <row r="4" spans="1:45" ht="23.25" customHeight="1" hidden="1">
      <c r="A4" s="1366"/>
      <c s="1366"/>
      <c s="1366"/>
      <c s="1366"/>
      <c s="2262"/>
      <c s="2262"/>
      <c s="2261">
        <v>1</v>
      </c>
      <c s="1366"/>
      <c s="1366"/>
      <c s="1366"/>
      <c s="1366"/>
      <c s="1367"/>
      <c s="1368"/>
      <c s="1368"/>
      <c s="1368"/>
      <c s="357"/>
      <c s="355"/>
      <c s="356"/>
      <c s="1339">
        <f>INDEX(PT_DIFFERENTIATION_NUM_CS,MATCH(C4,PT_DIFFERENTIATION_CS_ID,0))</f>
      </c>
      <c s="312" t="s">
        <v>399</v>
      </c>
      <c s="303"/>
      <c s="2245"/>
      <c s="2246"/>
      <c s="2246"/>
      <c s="2246"/>
      <c s="2246"/>
      <c s="2246"/>
      <c s="2246"/>
      <c s="2247"/>
      <c s="2245">
        <f>INDEX(PT_DIFFERENTIATION_CS,MATCH(C4,PT_DIFFERENTIATION_CS_ID,0))</f>
      </c>
      <c s="2246"/>
      <c s="2246"/>
      <c s="2246"/>
      <c s="2246"/>
      <c s="2246"/>
      <c s="2246"/>
      <c s="2246"/>
      <c s="2247"/>
      <c s="1261" t="s">
        <v>400</v>
      </c>
      <c r="AO4" s="503"/>
      <c s="503" t="str">
        <f>IF(T4="","",T4)</f>
        <v>Наименование системы теплоснабжения</v>
      </c>
      <c s="503"/>
      <c s="503"/>
      <c s="1158">
        <v>0</v>
      </c>
    </row>
    <row r="5" spans="1:45" ht="21" customHeight="1" hidden="1">
      <c r="A5" s="1366"/>
      <c s="1366"/>
      <c s="1366"/>
      <c s="1366"/>
      <c s="2262"/>
      <c s="2262"/>
      <c s="2262"/>
      <c s="2261">
        <v>1</v>
      </c>
      <c s="1366"/>
      <c s="1366"/>
      <c s="1366"/>
      <c s="1367"/>
      <c s="1368"/>
      <c s="1368"/>
      <c s="1368"/>
      <c s="357"/>
      <c s="355"/>
      <c s="356"/>
      <c s="1339">
        <f>INDEX(PT_DIFFERENTIATION_NUM_IST_TE,MATCH(D5,PT_DIFFERENTIATION_IST_TE_ID,0))</f>
      </c>
      <c s="313" t="s">
        <v>401</v>
      </c>
      <c s="303"/>
      <c s="2245"/>
      <c s="2246"/>
      <c s="2246"/>
      <c s="2246"/>
      <c s="2246"/>
      <c s="2246"/>
      <c s="2246"/>
      <c s="2247"/>
      <c s="2245">
        <f>INDEX(PT_DIFFERENTIATION_IST_TE,MATCH(D5,PT_DIFFERENTIATION_IST_TE_ID,0))</f>
      </c>
      <c s="2246"/>
      <c s="2246"/>
      <c s="2246"/>
      <c s="2246"/>
      <c s="2246"/>
      <c s="2246"/>
      <c s="2246"/>
      <c s="2247"/>
      <c s="1261" t="s">
        <v>402</v>
      </c>
      <c r="AO5" s="503"/>
      <c s="503" t="str">
        <f>IF(T5="","",T5)</f>
        <v>Источник тепловой энергии</v>
      </c>
      <c s="503"/>
      <c s="503"/>
      <c s="1158">
        <v>0</v>
      </c>
    </row>
    <row r="6" spans="1:45" ht="14.25" customHeight="1" hidden="1">
      <c r="A6" s="1366"/>
      <c s="1366"/>
      <c s="1366"/>
      <c s="1366"/>
      <c s="2262"/>
      <c s="2262"/>
      <c s="2262"/>
      <c s="2262"/>
      <c s="2259">
        <f>S5&amp;".1"</f>
      </c>
      <c s="1366"/>
      <c s="1366"/>
      <c s="1367" t="s">
        <v>403</v>
      </c>
      <c s="540"/>
      <c r="P6" s="2260">
        <v>1</v>
      </c>
      <c s="1334"/>
      <c s="359"/>
      <c s="1045"/>
      <c s="1386"/>
      <c s="1387"/>
      <c s="2299"/>
      <c s="2300"/>
      <c s="2300"/>
      <c s="2300"/>
      <c s="2300"/>
      <c s="2300"/>
      <c s="2300"/>
      <c s="2301"/>
      <c s="2299"/>
      <c s="2300"/>
      <c s="2300"/>
      <c s="2300"/>
      <c s="2300"/>
      <c s="2300"/>
      <c s="2300"/>
      <c s="2300"/>
      <c s="2301"/>
      <c s="1388"/>
      <c r="AO6" s="503"/>
      <c s="503" t="str">
        <f>IF(T6="","",T6)</f>
        <v/>
      </c>
      <c s="503"/>
      <c s="503"/>
      <c s="1158">
        <v>0</v>
      </c>
    </row>
    <row r="7" spans="1:45" ht="21" customHeight="1" hidden="1">
      <c r="A7" s="1366"/>
      <c s="1366"/>
      <c s="1366"/>
      <c s="1366"/>
      <c s="2262"/>
      <c s="2262"/>
      <c s="2262"/>
      <c s="2262"/>
      <c s="2289"/>
      <c s="2259">
        <f>I6&amp;".1"</f>
      </c>
      <c s="1366"/>
      <c s="1367" t="s">
        <v>406</v>
      </c>
      <c s="540"/>
      <c s="1369"/>
      <c r="P7" s="2260"/>
      <c s="2260">
        <v>1</v>
      </c>
      <c s="360"/>
      <c s="1339">
        <f>$J7</f>
      </c>
      <c s="289" t="s">
        <v>407</v>
      </c>
      <c s="303"/>
      <c s="2248"/>
      <c s="2249"/>
      <c s="2249"/>
      <c s="2249"/>
      <c s="2249"/>
      <c s="2249"/>
      <c s="2249"/>
      <c s="2250"/>
      <c s="2248"/>
      <c s="2249"/>
      <c s="2249"/>
      <c s="2249"/>
      <c s="2249"/>
      <c s="2249"/>
      <c s="2249"/>
      <c s="2249"/>
      <c s="2250"/>
      <c s="1261" t="s">
        <v>408</v>
      </c>
      <c r="AO7" s="503"/>
      <c s="503" t="str">
        <f>IF(T7="","",T7)</f>
        <v>Группа потребителей</v>
      </c>
      <c s="503"/>
      <c s="503"/>
      <c s="1158">
        <v>0</v>
      </c>
    </row>
    <row r="8" spans="1:45" ht="21" customHeight="1" hidden="1">
      <c r="A8" s="1366"/>
      <c s="1366"/>
      <c s="1366"/>
      <c s="1366"/>
      <c s="2262"/>
      <c s="2262"/>
      <c s="2262"/>
      <c s="2262"/>
      <c s="2289"/>
      <c s="2289"/>
      <c s="2259">
        <f>J7&amp;".1"</f>
      </c>
      <c s="1367" t="s">
        <v>409</v>
      </c>
      <c s="540"/>
      <c s="1369"/>
      <c s="1369"/>
      <c s="2260"/>
      <c s="2260"/>
      <c s="360">
        <v>1</v>
      </c>
      <c s="1339">
        <f>$K8</f>
      </c>
      <c s="1350"/>
      <c s="303"/>
      <c s="754"/>
      <c s="328"/>
      <c s="754"/>
      <c s="1260"/>
      <c s="2268"/>
      <c s="2110" t="s">
        <v>65</v>
      </c>
      <c s="2268"/>
      <c s="2110" t="s">
        <v>65</v>
      </c>
      <c s="754"/>
      <c s="328"/>
      <c s="754"/>
      <c s="1260"/>
      <c s="2268"/>
      <c s="2110" t="s">
        <v>65</v>
      </c>
      <c s="2268"/>
      <c s="2110" t="s">
        <v>65</v>
      </c>
      <c s="328"/>
      <c s="2256" t="s">
        <v>410</v>
      </c>
      <c s="514">
        <f>STRCHECKDATE(V9:AL9)</f>
      </c>
      <c s="503"/>
      <c s="503" t="str">
        <f>IF(T8="","",T8)</f>
        <v/>
      </c>
      <c s="503"/>
      <c s="503"/>
      <c s="1158">
        <v>0</v>
      </c>
    </row>
    <row r="9" spans="1:45" ht="14.25" customHeight="1" hidden="1">
      <c r="A9" s="1366"/>
      <c s="1366"/>
      <c s="1366"/>
      <c s="1366"/>
      <c s="2262"/>
      <c s="2262"/>
      <c s="2262"/>
      <c s="2262"/>
      <c s="2289"/>
      <c s="2289"/>
      <c s="2259"/>
      <c s="1367"/>
      <c s="540"/>
      <c s="1369"/>
      <c s="1369"/>
      <c s="2260"/>
      <c s="2260"/>
      <c s="360"/>
      <c s="1345"/>
      <c s="303"/>
      <c s="303"/>
      <c s="328"/>
      <c s="328"/>
      <c s="328"/>
      <c s="331" t="str">
        <f>Z8&amp;"-"&amp;AB8</f>
        <v>-</v>
      </c>
      <c s="2269"/>
      <c s="2110"/>
      <c s="2269"/>
      <c s="2110"/>
      <c s="328"/>
      <c s="328"/>
      <c s="328"/>
      <c s="331" t="str">
        <f>AH8&amp;"-"&amp;AJ8</f>
        <v>-</v>
      </c>
      <c s="2269"/>
      <c s="2110"/>
      <c s="2269"/>
      <c s="2110"/>
      <c s="328"/>
      <c s="2257"/>
      <c r="AO9" s="503"/>
      <c s="503" t="str">
        <f>IF(T9="","",T9)</f>
        <v/>
      </c>
      <c s="503"/>
      <c s="503"/>
      <c s="1158">
        <v>0</v>
      </c>
    </row>
    <row r="10" spans="1:45" ht="15" customHeight="1" hidden="1">
      <c r="A10" s="1366"/>
      <c s="1366"/>
      <c s="1366"/>
      <c s="1366"/>
      <c s="2262"/>
      <c s="2262"/>
      <c s="2262"/>
      <c s="2262"/>
      <c s="2289"/>
      <c s="2259"/>
      <c s="1366"/>
      <c s="1367"/>
      <c s="540"/>
      <c s="1369"/>
      <c r="P10" s="2260"/>
      <c s="2260"/>
      <c s="359"/>
      <c s="1281"/>
      <c s="290" t="s">
        <v>411</v>
      </c>
      <c s="370"/>
      <c s="370"/>
      <c s="370"/>
      <c s="370"/>
      <c s="370"/>
      <c s="370"/>
      <c s="370"/>
      <c s="370"/>
      <c s="370"/>
      <c s="370"/>
      <c s="370"/>
      <c s="370"/>
      <c s="370"/>
      <c s="370"/>
      <c s="370"/>
      <c s="370"/>
      <c s="370"/>
      <c s="327"/>
      <c s="2258"/>
      <c r="AO10" s="503"/>
      <c s="503" t="str">
        <f>IF(T10="","",T10)</f>
        <v>Добавить вид теплоносителя (параметры теплоносителя)</v>
      </c>
      <c s="503"/>
      <c s="503"/>
      <c s="1158">
        <v>0</v>
      </c>
    </row>
    <row r="11" spans="1:45" ht="11.25" customHeight="1" hidden="1">
      <c r="A11" s="1366"/>
      <c s="1366"/>
      <c s="1366"/>
      <c s="1366"/>
      <c s="2262"/>
      <c s="2262"/>
      <c s="2262"/>
      <c s="2262"/>
      <c s="2259"/>
      <c s="1366"/>
      <c s="1366"/>
      <c s="1367"/>
      <c s="540"/>
      <c r="P11" s="2260"/>
      <c s="1334"/>
      <c s="359"/>
      <c s="1281"/>
      <c s="368" t="s">
        <v>412</v>
      </c>
      <c s="370"/>
      <c s="370"/>
      <c s="370"/>
      <c s="370"/>
      <c s="370"/>
      <c s="370"/>
      <c s="370"/>
      <c s="370"/>
      <c s="369"/>
      <c s="370"/>
      <c s="370"/>
      <c s="370"/>
      <c s="370"/>
      <c s="370"/>
      <c s="370"/>
      <c s="370"/>
      <c s="369"/>
      <c s="370"/>
      <c s="306"/>
      <c r="AO11" s="503"/>
      <c s="503" t="str">
        <f>IF(T11="","",T11)</f>
        <v>Добавить группу потребителей</v>
      </c>
      <c s="503"/>
      <c s="503"/>
      <c s="1158">
        <v>0</v>
      </c>
    </row>
    <row r="12" spans="1:45" ht="14.25" customHeight="1" hidden="1">
      <c r="A12" s="1366"/>
      <c s="1366"/>
      <c s="1366"/>
      <c s="1366"/>
      <c s="2262"/>
      <c s="2262"/>
      <c s="2262"/>
      <c s="2261"/>
      <c s="1366"/>
      <c s="1366"/>
      <c s="1366"/>
      <c s="1367"/>
      <c s="1368"/>
      <c s="1368"/>
      <c s="540"/>
      <c s="363"/>
      <c s="378"/>
      <c s="358"/>
      <c s="1389"/>
      <c s="1390"/>
      <c s="1391"/>
      <c s="1391"/>
      <c s="1391"/>
      <c s="1391"/>
      <c s="1391"/>
      <c s="1391"/>
      <c s="1391"/>
      <c s="1391"/>
      <c s="1391"/>
      <c s="1391"/>
      <c s="1391"/>
      <c s="1391"/>
      <c s="1391"/>
      <c s="1391"/>
      <c s="1391"/>
      <c s="1391"/>
      <c s="1391"/>
      <c s="1391"/>
      <c s="1392"/>
      <c r="AO12" s="503"/>
      <c s="503" t="str">
        <f>IF(T12="","",T12)</f>
        <v/>
      </c>
      <c s="503"/>
      <c s="503"/>
      <c s="1158">
        <v>0</v>
      </c>
    </row>
    <row r="13" spans="1:45" s="1645" customFormat="1" ht="14.25" customHeight="1" hidden="1">
      <c r="A13" s="1317"/>
      <c s="1317"/>
      <c s="1317"/>
      <c s="1317"/>
      <c s="2262"/>
      <c s="2262"/>
      <c s="2261"/>
      <c s="1317"/>
      <c s="1317"/>
      <c s="1317"/>
      <c s="1317"/>
      <c s="1342"/>
      <c s="1318"/>
      <c s="1318"/>
      <c r="P13" s="1319"/>
      <c s="1320"/>
      <c s="1319"/>
      <c s="1321"/>
      <c s="1322" t="s">
        <v>414</v>
      </c>
      <c s="1323"/>
      <c s="1323"/>
      <c s="1323"/>
      <c s="1323"/>
      <c s="1323"/>
      <c s="1323"/>
      <c s="1323"/>
      <c s="1323"/>
      <c s="1323"/>
      <c s="1323"/>
      <c s="1323"/>
      <c s="1323"/>
      <c s="1323"/>
      <c s="1323"/>
      <c s="1323"/>
      <c s="1323"/>
      <c s="1323"/>
      <c s="1323"/>
      <c s="1323"/>
      <c r="AO13" s="792"/>
      <c s="792" t="str">
        <f>IF(T13="","",T13)</f>
        <v>Добавить источник для дифференциации</v>
      </c>
      <c s="792"/>
      <c s="792"/>
      <c s="521">
        <v>0</v>
      </c>
    </row>
    <row r="14" spans="1:45" s="1645" customFormat="1" ht="14.25" customHeight="1" hidden="1">
      <c r="A14" s="1317"/>
      <c s="1317"/>
      <c s="1317"/>
      <c s="1317"/>
      <c s="2262"/>
      <c s="2261"/>
      <c s="1317"/>
      <c s="1317"/>
      <c s="1317"/>
      <c s="1317"/>
      <c s="1317"/>
      <c s="1342"/>
      <c s="1324"/>
      <c s="1324"/>
      <c r="P14" s="1319"/>
      <c s="1320"/>
      <c s="1319"/>
      <c s="1325"/>
      <c s="1326" t="s">
        <v>415</v>
      </c>
      <c s="1327"/>
      <c s="1327"/>
      <c s="1327"/>
      <c s="1327"/>
      <c s="1327"/>
      <c s="1327"/>
      <c s="1327"/>
      <c s="1327"/>
      <c s="1327"/>
      <c s="1327"/>
      <c s="1327"/>
      <c s="1327"/>
      <c s="1327"/>
      <c s="1327"/>
      <c s="1327"/>
      <c s="1327"/>
      <c s="1327"/>
      <c s="1327"/>
      <c s="1327"/>
      <c r="AO14" s="792"/>
      <c s="792" t="str">
        <f>IF(T14="","",T14)</f>
        <v>Добавить централизованную систему для дифференциации</v>
      </c>
      <c s="792"/>
      <c s="792"/>
      <c s="521">
        <v>0</v>
      </c>
    </row>
    <row r="15" spans="1:45" s="1645" customFormat="1" ht="14.25" customHeight="1" hidden="1">
      <c r="A15" s="1317"/>
      <c s="1317"/>
      <c s="1317"/>
      <c s="1317"/>
      <c s="2261"/>
      <c s="1317"/>
      <c s="1317"/>
      <c s="1317"/>
      <c s="1317"/>
      <c s="1317"/>
      <c s="1317"/>
      <c s="1342"/>
      <c s="1324"/>
      <c s="1324"/>
      <c r="P15" s="1319"/>
      <c s="1320"/>
      <c s="1319"/>
      <c s="1325"/>
      <c s="1328" t="s">
        <v>416</v>
      </c>
      <c s="1327"/>
      <c s="1327"/>
      <c s="1327"/>
      <c s="1327"/>
      <c s="1327"/>
      <c s="1327"/>
      <c s="1327"/>
      <c s="1327"/>
      <c s="1327"/>
      <c s="1327"/>
      <c s="1327"/>
      <c s="1327"/>
      <c s="1327"/>
      <c s="1327"/>
      <c s="1327"/>
      <c s="1327"/>
      <c s="1327"/>
      <c s="1327"/>
      <c s="1327"/>
      <c r="AO15" s="792"/>
      <c s="792" t="str">
        <f>IF(T15="","",T15)</f>
        <v>Добавить территорию для дифференциации</v>
      </c>
      <c s="792"/>
      <c s="792"/>
      <c s="521">
        <v>0</v>
      </c>
    </row>
    <row r="16" spans="29:45" ht="14.25" customHeight="1" hidden="1">
      <c r="AC16" s="330"/>
      <c r="AK16" s="330"/>
      <c r="AS16" s="1158">
        <v>0</v>
      </c>
    </row>
    <row r="17" spans="30:45" ht="14.25" customHeight="1" hidden="1">
      <c r="AD17" s="1363"/>
      <c s="1363"/>
      <c s="1363"/>
      <c s="1364"/>
      <c s="2270"/>
      <c s="2271" t="s">
        <v>65</v>
      </c>
      <c s="2270"/>
      <c s="2271" t="s">
        <v>65</v>
      </c>
      <c r="AS17" s="1158">
        <v>0</v>
      </c>
    </row>
    <row r="18" spans="30:45" ht="14.25" customHeight="1" hidden="1">
      <c r="AD18" s="1363"/>
      <c s="1363"/>
      <c s="1363"/>
      <c s="331" t="str">
        <f>AH17&amp;"-"&amp;AJ17</f>
        <v>-</v>
      </c>
      <c s="2271"/>
      <c s="2271"/>
      <c s="2271"/>
      <c s="2271"/>
      <c r="AS18" s="1158">
        <v>0</v>
      </c>
    </row>
    <row r="19" spans="37:45" ht="14.25" customHeight="1" hidden="1">
      <c r="AK19" s="330"/>
      <c r="AS19" s="1158">
        <v>0</v>
      </c>
    </row>
    <row r="20" spans="12:45" s="1369" customFormat="1" ht="22.5" customHeight="1" hidden="1">
      <c r="L20" s="1332"/>
      <c s="1365"/>
      <c s="1365"/>
      <c s="1370" t="s">
        <v>417</v>
      </c>
      <c s="1365"/>
      <c s="1374"/>
      <c s="1374"/>
      <c s="732"/>
      <c r="Z20" s="1370"/>
      <c r="AB20" s="1370"/>
      <c s="1369"/>
      <c r="AH20" s="1370"/>
      <c r="AJ20" s="1370"/>
      <c s="1369"/>
      <c r="AN20" s="514"/>
      <c s="514"/>
      <c s="514"/>
      <c s="514"/>
      <c s="514"/>
      <c s="1163">
        <v>0</v>
      </c>
    </row>
    <row r="21" spans="12:45" s="1369" customFormat="1" ht="14.25" customHeight="1" hidden="1">
      <c r="L21" s="1332"/>
      <c s="1365"/>
      <c s="1365"/>
      <c s="1365"/>
      <c s="1365"/>
      <c s="1374"/>
      <c s="1374"/>
      <c s="732"/>
      <c r="AC21" s="1369"/>
      <c r="AK21" s="1369"/>
      <c r="AN21" s="514"/>
      <c s="514"/>
      <c s="514"/>
      <c s="514"/>
      <c s="514"/>
      <c s="1163">
        <v>0</v>
      </c>
    </row>
    <row r="22" spans="12:45" s="1369" customFormat="1" ht="14.25" customHeight="1" hidden="1">
      <c r="L22" s="1332"/>
      <c s="1365"/>
      <c s="1365"/>
      <c s="1367" t="s">
        <v>418</v>
      </c>
      <c s="1365"/>
      <c s="1374"/>
      <c s="1374"/>
      <c s="732"/>
      <c s="1163" t="s">
        <v>419</v>
      </c>
      <c r="AA22" s="189" t="s">
        <v>420</v>
      </c>
      <c r="AC22" s="189" t="s">
        <v>421</v>
      </c>
      <c s="1163" t="s">
        <v>419</v>
      </c>
      <c r="AI22" s="189" t="s">
        <v>422</v>
      </c>
      <c r="AK22" s="189" t="s">
        <v>421</v>
      </c>
      <c r="AN22" s="514"/>
      <c s="514"/>
      <c s="514"/>
      <c s="514"/>
      <c s="514"/>
      <c s="1163">
        <v>0</v>
      </c>
    </row>
    <row r="23" spans="15:45" ht="14.25" customHeight="1" hidden="1">
      <c r="O23" s="1367"/>
      <c r="AS23" s="1158">
        <v>0</v>
      </c>
    </row>
    <row r="24" spans="15:45" ht="14.25" customHeight="1" hidden="1">
      <c r="O24" s="1367"/>
      <c r="AS24" s="1158">
        <v>0</v>
      </c>
    </row>
    <row r="25" spans="17:45" ht="14.7" customHeight="1">
      <c r="Q25" s="379"/>
      <c s="379"/>
      <c s="1278"/>
      <c s="366"/>
      <c s="366"/>
      <c s="512"/>
      <c s="512"/>
      <c s="512"/>
      <c s="512"/>
      <c s="512"/>
      <c s="512"/>
      <c s="512"/>
      <c s="512"/>
      <c s="512"/>
      <c s="512"/>
      <c s="512"/>
      <c s="512"/>
      <c s="512"/>
      <c s="512"/>
      <c s="512"/>
      <c s="512"/>
      <c r="AS25" s="1158">
        <v>14</v>
      </c>
    </row>
    <row r="26" spans="17:45" ht="53.55" customHeight="1">
      <c r="Q26" s="379"/>
      <c s="379"/>
      <c s="2251"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s="2251"/>
      <c s="2251"/>
      <c s="2251"/>
      <c s="2251"/>
      <c s="2251"/>
      <c s="2251"/>
      <c s="2251"/>
      <c s="2251"/>
      <c s="2251"/>
      <c s="2251"/>
      <c s="2251"/>
      <c s="2251"/>
      <c s="2251"/>
      <c s="2251"/>
      <c s="2251"/>
      <c s="2251"/>
      <c s="2251"/>
      <c s="1246"/>
      <c r="AS26" s="1158">
        <v>51</v>
      </c>
    </row>
    <row r="27" spans="17:45" ht="14.7" customHeight="1">
      <c r="Q27" s="379"/>
      <c s="379"/>
      <c s="2252" t="str">
        <f>IF(org=0,"Не определено",org)</f>
        <v>ГУП КК "Кубаньводкомплекс"</v>
      </c>
      <c s="2252"/>
      <c s="2252"/>
      <c s="2252"/>
      <c s="2252"/>
      <c s="2252"/>
      <c s="2252"/>
      <c s="2252"/>
      <c s="2252"/>
      <c s="2252"/>
      <c s="2252"/>
      <c s="2252"/>
      <c s="2252"/>
      <c s="2252"/>
      <c s="2252"/>
      <c s="2252"/>
      <c s="2252"/>
      <c s="2252"/>
      <c s="1246"/>
      <c r="AS27" s="1158">
        <v>14</v>
      </c>
    </row>
    <row r="28" spans="17:45" ht="14.25" customHeight="1" hidden="1">
      <c r="Q28" s="379"/>
      <c s="379"/>
      <c s="1278"/>
      <c s="366"/>
      <c s="366"/>
      <c s="325"/>
      <c s="325"/>
      <c s="325"/>
      <c s="325"/>
      <c s="325"/>
      <c s="325"/>
      <c s="325"/>
      <c s="325"/>
      <c s="325"/>
      <c s="325"/>
      <c s="325"/>
      <c s="325"/>
      <c s="325"/>
      <c s="325"/>
      <c s="325"/>
      <c s="325"/>
      <c s="512"/>
      <c r="AS28" s="1158">
        <v>0</v>
      </c>
    </row>
    <row r="29" spans="1:45" s="1856" customFormat="1" ht="25.5" customHeight="1" hidden="1">
      <c r="A29" s="1371"/>
      <c s="1371"/>
      <c s="1371"/>
      <c s="1371"/>
      <c s="1371"/>
      <c s="1371"/>
      <c s="1371"/>
      <c s="1371"/>
      <c s="1371"/>
      <c s="1371"/>
      <c s="1371"/>
      <c s="1372"/>
      <c s="1371"/>
      <c s="1371"/>
      <c s="1371"/>
      <c r="S29" s="2253" t="s">
        <v>42</v>
      </c>
      <c s="2253"/>
      <c s="1375"/>
      <c s="2254" t="str">
        <f>IF(TITLE_NAME_OR_PR_CHANGE="",IF(TITLE_NAME_OR_PR="","",TITLE_NAME_OR_PR),TITLE_NAME_OR_PR_CHANGE)</f>
        <v/>
      </c>
      <c s="2254"/>
      <c s="2254"/>
      <c s="2254"/>
      <c s="2254"/>
      <c s="2254"/>
      <c s="2254"/>
      <c s="329"/>
      <c s="2254" t="str">
        <f>IF(TITLE_NAME_OR_PR_CHANGE="",IF(TITLE_NAME_OR_PR="","",TITLE_NAME_OR_PR),TITLE_NAME_OR_PR_CHANGE)</f>
        <v/>
      </c>
      <c s="2254"/>
      <c s="2254"/>
      <c s="2254"/>
      <c s="2254"/>
      <c s="2254"/>
      <c s="2254"/>
      <c s="329"/>
      <c s="329"/>
      <c s="283"/>
      <c s="371"/>
      <c s="371"/>
      <c s="371"/>
      <c s="371"/>
      <c s="371"/>
      <c s="421">
        <v>0</v>
      </c>
    </row>
    <row r="30" spans="1:45" s="1856" customFormat="1" ht="18.75" customHeight="1" hidden="1">
      <c r="A30" s="1371"/>
      <c s="1371"/>
      <c s="1371"/>
      <c s="1371"/>
      <c s="1371"/>
      <c s="1371"/>
      <c s="1371"/>
      <c s="1371"/>
      <c s="1371"/>
      <c s="1371"/>
      <c s="1371"/>
      <c s="1372"/>
      <c s="1371"/>
      <c s="1371"/>
      <c s="1371"/>
      <c r="S30" s="2253" t="s">
        <v>423</v>
      </c>
      <c s="2253"/>
      <c s="1375"/>
      <c s="2267" t="str">
        <f>IF(TITLE_DATE_PR_CHANGE="",IF(TITLE_DATE_PR="","",TITLE_DATE_PR),TITLE_DATE_PR_CHANGE)</f>
        <v/>
      </c>
      <c s="2267"/>
      <c s="2267"/>
      <c s="2267"/>
      <c s="2267"/>
      <c s="2267"/>
      <c s="2267"/>
      <c s="329"/>
      <c s="2267" t="str">
        <f>IF(TITLE_DATE_PR_CHANGE="",IF(TITLE_DATE_PR="","",TITLE_DATE_PR),TITLE_DATE_PR_CHANGE)</f>
        <v/>
      </c>
      <c s="2267"/>
      <c s="2267"/>
      <c s="2267"/>
      <c s="2267"/>
      <c s="2267"/>
      <c s="2267"/>
      <c s="329"/>
      <c s="329"/>
      <c s="283"/>
      <c s="371"/>
      <c s="371"/>
      <c s="371"/>
      <c s="371"/>
      <c s="371"/>
      <c s="421">
        <v>0</v>
      </c>
    </row>
    <row r="31" spans="1:45" s="1856" customFormat="1" ht="18.75" customHeight="1" hidden="1">
      <c r="A31" s="1371"/>
      <c s="1371"/>
      <c s="1371"/>
      <c s="1371"/>
      <c s="1371"/>
      <c s="1371"/>
      <c s="1371"/>
      <c s="1371"/>
      <c s="1371"/>
      <c s="1371"/>
      <c s="1371"/>
      <c s="1372"/>
      <c s="1371"/>
      <c s="1371"/>
      <c s="1371"/>
      <c r="S31" s="2253" t="s">
        <v>424</v>
      </c>
      <c s="2253"/>
      <c s="1375"/>
      <c s="2254" t="str">
        <f>IF(TITLE_NUMBER_PR_CHANGE="",IF(TITLE_NUMBER_PR="","",TITLE_NUMBER_PR),TITLE_NUMBER_PR_CHANGE)</f>
        <v/>
      </c>
      <c s="2254"/>
      <c s="2254"/>
      <c s="2254"/>
      <c s="2254"/>
      <c s="2254"/>
      <c s="2254"/>
      <c s="329"/>
      <c s="2254" t="str">
        <f>IF(TITLE_NUMBER_PR_CHANGE="",IF(TITLE_NUMBER_PR="","",TITLE_NUMBER_PR),TITLE_NUMBER_PR_CHANGE)</f>
        <v/>
      </c>
      <c s="2254"/>
      <c s="2254"/>
      <c s="2254"/>
      <c s="2254"/>
      <c s="2254"/>
      <c s="2254"/>
      <c s="329"/>
      <c s="329"/>
      <c s="283"/>
      <c s="371"/>
      <c s="371"/>
      <c s="371"/>
      <c s="371"/>
      <c s="371"/>
      <c s="421">
        <v>0</v>
      </c>
    </row>
    <row r="32" spans="1:45" s="1856" customFormat="1" ht="18.75" customHeight="1" hidden="1">
      <c r="A32" s="1371"/>
      <c s="1371"/>
      <c s="1371"/>
      <c s="1371"/>
      <c s="1371"/>
      <c s="1371"/>
      <c s="1371"/>
      <c s="1371"/>
      <c s="1371"/>
      <c s="1371"/>
      <c s="1371"/>
      <c s="1372"/>
      <c s="1371"/>
      <c s="1371"/>
      <c s="1371"/>
      <c r="S32" s="2253" t="s">
        <v>43</v>
      </c>
      <c s="2253"/>
      <c s="1375"/>
      <c s="2254" t="str">
        <f>IF(TITLE_IST_PUB_CHANGE="",IF(TITLE_IST_PUB="","",TITLE_IST_PUB),TITLE_IST_PUB_CHANGE)</f>
        <v/>
      </c>
      <c s="2254"/>
      <c s="2254"/>
      <c s="2254"/>
      <c s="2254"/>
      <c s="2254"/>
      <c s="2254"/>
      <c s="329"/>
      <c s="2254" t="str">
        <f>IF(TITLE_IST_PUB_CHANGE="",IF(TITLE_IST_PUB="","",TITLE_IST_PUB),TITLE_IST_PUB_CHANGE)</f>
        <v/>
      </c>
      <c s="2254"/>
      <c s="2254"/>
      <c s="2254"/>
      <c s="2254"/>
      <c s="2254"/>
      <c s="2254"/>
      <c s="329"/>
      <c s="329"/>
      <c s="283"/>
      <c s="371"/>
      <c s="371"/>
      <c s="371"/>
      <c s="371"/>
      <c s="371"/>
      <c s="421">
        <v>0</v>
      </c>
    </row>
    <row r="33" spans="17:45" ht="14.25" customHeight="1" hidden="1">
      <c r="Q33" s="379"/>
      <c s="379"/>
      <c s="1278"/>
      <c s="366"/>
      <c s="366"/>
      <c s="325"/>
      <c s="325"/>
      <c s="325"/>
      <c s="325"/>
      <c s="325"/>
      <c s="325"/>
      <c s="325"/>
      <c s="325"/>
      <c s="325"/>
      <c s="325"/>
      <c s="325"/>
      <c s="325"/>
      <c s="325"/>
      <c s="325"/>
      <c s="325"/>
      <c s="325"/>
      <c s="512"/>
      <c r="AS33" s="1158">
        <v>0</v>
      </c>
    </row>
    <row r="34" spans="1:45" s="1856" customFormat="1" ht="18.75" customHeight="1" hidden="1">
      <c r="A34" s="1371"/>
      <c s="1371"/>
      <c s="1371"/>
      <c s="1371"/>
      <c s="1371"/>
      <c s="1371"/>
      <c s="1371"/>
      <c s="1371"/>
      <c s="1371"/>
      <c s="1371"/>
      <c s="1371"/>
      <c s="1372"/>
      <c s="1371"/>
      <c s="1371"/>
      <c s="1371"/>
      <c r="S34" s="2253" t="s">
        <v>425</v>
      </c>
      <c s="2253"/>
      <c s="1375"/>
      <c s="2267" t="str">
        <f>IF(TITLE_DATE_PR_CHANGE="",IF(TITLE_DATE_PR="","",TITLE_DATE_PR),TITLE_DATE_PR_CHANGE)</f>
        <v/>
      </c>
      <c s="2267"/>
      <c s="2267"/>
      <c s="2267"/>
      <c s="2267"/>
      <c s="2267"/>
      <c s="2267"/>
      <c s="329"/>
      <c s="2267" t="str">
        <f>IF(TITLE_DATE_PR_CHANGE="",IF(TITLE_DATE_PR="","",TITLE_DATE_PR),TITLE_DATE_PR_CHANGE)</f>
        <v/>
      </c>
      <c s="2267"/>
      <c s="2267"/>
      <c s="2267"/>
      <c s="2267"/>
      <c s="2267"/>
      <c s="2267"/>
      <c s="329"/>
      <c s="329"/>
      <c s="283"/>
      <c s="371"/>
      <c s="371"/>
      <c s="371"/>
      <c s="371"/>
      <c s="371"/>
      <c s="421">
        <v>0</v>
      </c>
    </row>
    <row r="35" spans="1:45" s="1856" customFormat="1" ht="25.5" customHeight="1" hidden="1">
      <c r="A35" s="1371"/>
      <c s="1371"/>
      <c s="1371"/>
      <c s="1371"/>
      <c s="1371"/>
      <c s="1371"/>
      <c s="1371"/>
      <c s="1371"/>
      <c s="1371"/>
      <c s="1371"/>
      <c s="1371"/>
      <c s="1372"/>
      <c s="1371"/>
      <c s="1371"/>
      <c s="1371"/>
      <c r="S35" s="2253" t="s">
        <v>426</v>
      </c>
      <c s="2253"/>
      <c s="1375"/>
      <c s="2254" t="str">
        <f>IF(TITLE_NUMBER_PR_CHANGE="",IF(TITLE_NUMBER_PR="","",TITLE_NUMBER_PR),TITLE_NUMBER_PR_CHANGE)</f>
        <v/>
      </c>
      <c s="2254"/>
      <c s="2254"/>
      <c s="2254"/>
      <c s="2254"/>
      <c s="2254"/>
      <c s="2254"/>
      <c s="329"/>
      <c s="2254" t="str">
        <f>IF(TITLE_NUMBER_PR_CHANGE="",IF(TITLE_NUMBER_PR="","",TITLE_NUMBER_PR),TITLE_NUMBER_PR_CHANGE)</f>
        <v/>
      </c>
      <c s="2254"/>
      <c s="2254"/>
      <c s="2254"/>
      <c s="2254"/>
      <c s="2254"/>
      <c s="2254"/>
      <c s="329"/>
      <c s="329"/>
      <c s="283"/>
      <c s="371"/>
      <c s="371"/>
      <c s="371"/>
      <c s="371"/>
      <c s="371"/>
      <c s="421">
        <v>0</v>
      </c>
    </row>
    <row r="36" spans="1:45" s="1856" customFormat="1" ht="0" customHeight="1">
      <c r="A36" s="1371"/>
      <c s="1371"/>
      <c s="1371"/>
      <c s="1371"/>
      <c s="1371"/>
      <c s="1371"/>
      <c s="1371"/>
      <c s="1371"/>
      <c s="1371"/>
      <c s="1371"/>
      <c s="1371"/>
      <c s="1372"/>
      <c s="1371"/>
      <c s="1371"/>
      <c s="1371"/>
      <c r="S36" s="326"/>
      <c s="326"/>
      <c s="1343"/>
      <c s="329"/>
      <c s="329"/>
      <c s="329"/>
      <c s="329"/>
      <c s="329"/>
      <c s="329"/>
      <c s="329"/>
      <c s="281" t="s">
        <v>427</v>
      </c>
      <c s="329"/>
      <c s="329"/>
      <c s="329"/>
      <c s="329"/>
      <c s="329"/>
      <c s="329"/>
      <c s="329"/>
      <c s="281" t="s">
        <v>427</v>
      </c>
      <c r="AN36" s="371"/>
      <c s="371"/>
      <c s="371"/>
      <c s="371"/>
      <c s="371"/>
      <c s="421">
        <v>0</v>
      </c>
    </row>
    <row r="37" spans="17:45" ht="14.7" customHeight="1">
      <c r="Q37" s="379"/>
      <c s="379"/>
      <c s="1278"/>
      <c s="366"/>
      <c s="1247"/>
      <c s="2255"/>
      <c s="2255"/>
      <c s="2255"/>
      <c s="2255"/>
      <c s="2255"/>
      <c s="2255"/>
      <c s="2255"/>
      <c s="2255"/>
      <c s="2255"/>
      <c s="2255"/>
      <c s="2255"/>
      <c s="2255"/>
      <c s="2255"/>
      <c s="2255"/>
      <c s="2255"/>
      <c s="2255"/>
      <c r="AS37" s="1158">
        <v>14</v>
      </c>
    </row>
    <row r="38" spans="17:45" ht="14.7" customHeight="1">
      <c r="Q38" s="379"/>
      <c s="379"/>
      <c s="2130" t="s">
        <v>300</v>
      </c>
      <c s="2130"/>
      <c s="2130"/>
      <c s="2130"/>
      <c s="2130"/>
      <c s="2130"/>
      <c s="2130"/>
      <c s="2130"/>
      <c s="2130"/>
      <c s="2130"/>
      <c s="2130"/>
      <c s="2130"/>
      <c s="2130"/>
      <c s="2130"/>
      <c s="2130"/>
      <c s="2130"/>
      <c s="2130"/>
      <c s="2130"/>
      <c s="2130"/>
      <c s="2130"/>
      <c s="2130" t="s">
        <v>301</v>
      </c>
      <c r="AS38" s="1158">
        <v>14</v>
      </c>
    </row>
    <row r="39" spans="17:45" ht="14.7" customHeight="1">
      <c r="Q39" s="379"/>
      <c s="379"/>
      <c s="2276" t="s">
        <v>87</v>
      </c>
      <c s="2212" t="s">
        <v>428</v>
      </c>
      <c s="304"/>
      <c s="2277" t="s">
        <v>429</v>
      </c>
      <c s="2278"/>
      <c s="2278"/>
      <c s="2278"/>
      <c s="2278"/>
      <c s="2278"/>
      <c s="2279"/>
      <c s="2280" t="s">
        <v>430</v>
      </c>
      <c s="2277" t="s">
        <v>429</v>
      </c>
      <c s="2278"/>
      <c s="2278"/>
      <c s="2278"/>
      <c s="2278"/>
      <c s="2278"/>
      <c s="2279"/>
      <c s="2280" t="s">
        <v>431</v>
      </c>
      <c s="2283" t="s">
        <v>432</v>
      </c>
      <c s="2130"/>
      <c r="AS39" s="1158">
        <v>14</v>
      </c>
    </row>
    <row r="40" spans="17:45" ht="35.7" customHeight="1">
      <c r="Q40" s="379"/>
      <c s="379"/>
      <c s="2276"/>
      <c s="2212"/>
      <c s="1034"/>
      <c s="2263" t="s">
        <v>433</v>
      </c>
      <c s="2286"/>
      <c s="2265" t="s">
        <v>435</v>
      </c>
      <c s="2266"/>
      <c s="2265" t="s">
        <v>436</v>
      </c>
      <c s="2272"/>
      <c s="2266"/>
      <c s="2281"/>
      <c s="2263" t="s">
        <v>450</v>
      </c>
      <c s="2286"/>
      <c s="2265" t="s">
        <v>435</v>
      </c>
      <c s="2266"/>
      <c s="2265" t="s">
        <v>436</v>
      </c>
      <c s="2272"/>
      <c s="2266"/>
      <c s="2281"/>
      <c s="2284"/>
      <c s="2130"/>
      <c r="AS40" s="1158">
        <v>34</v>
      </c>
    </row>
    <row r="41" spans="1:45" ht="35.7" customHeight="1">
      <c r="A41" s="1373"/>
      <c s="1373" t="s">
        <v>137</v>
      </c>
      <c s="1373" t="s">
        <v>138</v>
      </c>
      <c s="1373" t="s">
        <v>139</v>
      </c>
      <c s="1367" t="s">
        <v>437</v>
      </c>
      <c s="1367" t="s">
        <v>438</v>
      </c>
      <c s="1367" t="s">
        <v>439</v>
      </c>
      <c s="1367" t="s">
        <v>440</v>
      </c>
      <c s="1367" t="s">
        <v>441</v>
      </c>
      <c s="1367" t="s">
        <v>442</v>
      </c>
      <c s="1367" t="s">
        <v>443</v>
      </c>
      <c s="1367" t="s">
        <v>418</v>
      </c>
      <c r="Q41" s="379"/>
      <c s="379"/>
      <c s="2276"/>
      <c s="2212"/>
      <c s="305"/>
      <c s="2264"/>
      <c s="2287"/>
      <c s="1225" t="s">
        <v>444</v>
      </c>
      <c s="1225" t="s">
        <v>445</v>
      </c>
      <c s="1341" t="s">
        <v>446</v>
      </c>
      <c s="2273" t="s">
        <v>447</v>
      </c>
      <c s="2274"/>
      <c s="2282"/>
      <c s="2264"/>
      <c s="2287"/>
      <c s="1225" t="s">
        <v>444</v>
      </c>
      <c s="1225" t="s">
        <v>445</v>
      </c>
      <c s="1341" t="s">
        <v>446</v>
      </c>
      <c s="2273" t="s">
        <v>447</v>
      </c>
      <c s="2274"/>
      <c s="2282"/>
      <c s="2285"/>
      <c s="2130"/>
      <c r="AS41" s="1158">
        <v>34</v>
      </c>
    </row>
    <row r="42" spans="1:45" s="1644" customFormat="1" ht="11.25" customHeight="1" hidden="1">
      <c r="A42" s="1373"/>
      <c s="1373"/>
      <c s="1373"/>
      <c s="1373"/>
      <c s="1373"/>
      <c s="1373"/>
      <c s="1373"/>
      <c s="1373"/>
      <c s="1373"/>
      <c s="1373"/>
      <c s="1373"/>
      <c s="1367"/>
      <c s="1365"/>
      <c s="1365"/>
      <c s="1365"/>
      <c s="1249"/>
      <c s="1250"/>
      <c s="1257">
        <v>1</v>
      </c>
      <c s="1280" t="s">
        <v>109</v>
      </c>
      <c s="1258" t="s">
        <v>110</v>
      </c>
      <c s="1248" t="str">
        <f ca="1">OFFSET(U42,0,-1)</f>
        <v>2</v>
      </c>
      <c s="1338">
        <f ca="1">OFFSET(V42,0,-1)+1</f>
        <v>3</v>
      </c>
      <c s="1338"/>
      <c s="1338">
        <f ca="1">OFFSET(X42,0,-1)+1</f>
        <v>1</v>
      </c>
      <c s="1338">
        <f ca="1">OFFSET(Y42,0,-1)+1</f>
        <v>2</v>
      </c>
      <c s="1338">
        <f ca="1">OFFSET(Z42,0,-1)+1</f>
        <v>3</v>
      </c>
      <c s="2275">
        <f ca="1">OFFSET(AA42,0,-1)+1</f>
        <v>4</v>
      </c>
      <c s="2275"/>
      <c s="1338">
        <f ca="1">OFFSET(AC42,0,-2)+1</f>
        <v>5</v>
      </c>
      <c s="1338">
        <f ca="1">OFFSET(AD42,0,-1)+1</f>
        <v>6</v>
      </c>
      <c s="1338"/>
      <c s="1338">
        <f ca="1">OFFSET(AF42,0,-1)+1</f>
        <v>1</v>
      </c>
      <c s="1338">
        <f ca="1">OFFSET(AG42,0,-1)+1</f>
        <v>2</v>
      </c>
      <c s="1338">
        <f ca="1">OFFSET(AH42,0,-1)+1</f>
        <v>3</v>
      </c>
      <c s="2275">
        <f ca="1">OFFSET(AI42,0,-1)+1</f>
        <v>4</v>
      </c>
      <c s="2275"/>
      <c s="1338">
        <f ca="1">OFFSET(AK42,0,-2)+1</f>
        <v>5</v>
      </c>
      <c s="1248">
        <f ca="1">OFFSET(AL42,0,-1)</f>
        <v>5</v>
      </c>
      <c s="1338">
        <f ca="1">OFFSET(AM42,0,-1)+1</f>
        <v>6</v>
      </c>
      <c s="514"/>
      <c s="514"/>
      <c s="514"/>
      <c s="514"/>
      <c s="514"/>
      <c s="499">
        <v>0</v>
      </c>
    </row>
    <row r="43" spans="1:45" ht="22.05" customHeight="1">
      <c r="A43" s="1366" t="s">
        <v>188</v>
      </c>
      <c s="1366"/>
      <c s="1366"/>
      <c s="1366"/>
      <c s="2261">
        <v>1</v>
      </c>
      <c s="1366"/>
      <c s="1366"/>
      <c s="1366"/>
      <c s="1366"/>
      <c s="1366"/>
      <c s="1366"/>
      <c s="1367"/>
      <c s="1368"/>
      <c s="1368"/>
      <c s="1368"/>
      <c s="364"/>
      <c s="363"/>
      <c s="358"/>
      <c s="1339">
        <f>INDEX(PT_DIFFERENTIATION_NUM_NTAR,MATCH(A43,PT_DIFFERENTIATION_NTAR_ID,0))</f>
        <v>0</v>
      </c>
      <c s="301" t="s">
        <v>125</v>
      </c>
      <c s="303"/>
      <c s="2245"/>
      <c s="2246"/>
      <c s="2246"/>
      <c s="2246"/>
      <c s="2246"/>
      <c s="2246"/>
      <c s="2246"/>
      <c s="2247"/>
      <c s="2245" t="str">
        <f>INDEX(PT_DIFFERENTIATION_NTAR,MATCH(A43,PT_DIFFERENTIATION_NTAR_ID,0))</f>
        <v/>
      </c>
      <c s="2246"/>
      <c s="2246"/>
      <c s="2246"/>
      <c s="2246"/>
      <c s="2246"/>
      <c s="2246"/>
      <c s="2246"/>
      <c s="2247"/>
      <c s="1261"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3"/>
      <c s="503" t="str">
        <f>IF(T43="","",T43)</f>
        <v>Наименование тарифа</v>
      </c>
      <c s="503"/>
      <c s="503"/>
      <c s="1158">
        <v>21</v>
      </c>
    </row>
    <row r="44" spans="1:45" ht="22.05" customHeight="1">
      <c r="A44" s="1366" t="s">
        <v>188</v>
      </c>
      <c s="1366" t="s">
        <v>189</v>
      </c>
      <c s="1366"/>
      <c s="1366"/>
      <c s="2262"/>
      <c s="2261">
        <v>1</v>
      </c>
      <c s="1366"/>
      <c s="1366"/>
      <c s="1366"/>
      <c s="1366"/>
      <c s="1366"/>
      <c s="1367"/>
      <c s="1368"/>
      <c s="1368"/>
      <c s="1368"/>
      <c s="1335"/>
      <c s="355"/>
      <c s="356"/>
      <c s="1339" t="str">
        <f>INDEX(PT_DIFFERENTIATION_NUM_TER,MATCH(B44,PT_DIFFERENTIATION_TER_ID,0))</f>
        <v>.</v>
      </c>
      <c s="311" t="s">
        <v>397</v>
      </c>
      <c s="303"/>
      <c s="2245"/>
      <c s="2246"/>
      <c s="2246"/>
      <c s="2246"/>
      <c s="2246"/>
      <c s="2246"/>
      <c s="2246"/>
      <c s="2247"/>
      <c s="2245" t="str">
        <f>INDEX(PT_DIFFERENTIATION_TER,MATCH(B44,PT_DIFFERENTIATION_TER_ID,0))</f>
        <v/>
      </c>
      <c s="2246"/>
      <c s="2246"/>
      <c s="2246"/>
      <c s="2246"/>
      <c s="2246"/>
      <c s="2246"/>
      <c s="2246"/>
      <c s="2247"/>
      <c s="1261" t="s">
        <v>398</v>
      </c>
      <c r="AO44" s="503"/>
      <c s="503" t="str">
        <f>IF(T44="","",T44)</f>
        <v>Территория действия тарифа</v>
      </c>
      <c s="503"/>
      <c s="503"/>
      <c s="1158">
        <v>21</v>
      </c>
    </row>
    <row r="45" spans="1:45" ht="24" customHeight="1">
      <c r="A45" s="1366" t="s">
        <v>188</v>
      </c>
      <c s="1366" t="s">
        <v>189</v>
      </c>
      <c s="1366" t="s">
        <v>190</v>
      </c>
      <c s="1366"/>
      <c s="2262"/>
      <c s="2262"/>
      <c s="2261">
        <v>1</v>
      </c>
      <c s="1366"/>
      <c s="1366"/>
      <c s="1366"/>
      <c s="1366"/>
      <c s="1367"/>
      <c s="1368"/>
      <c s="1368"/>
      <c s="1368"/>
      <c s="357"/>
      <c s="355"/>
      <c s="356"/>
      <c s="1339" t="str">
        <f>INDEX(PT_DIFFERENTIATION_NUM_CS,MATCH(C45,PT_DIFFERENTIATION_CS_ID,0))</f>
        <v>..</v>
      </c>
      <c s="312" t="s">
        <v>399</v>
      </c>
      <c s="303"/>
      <c s="2245"/>
      <c s="2246"/>
      <c s="2246"/>
      <c s="2246"/>
      <c s="2246"/>
      <c s="2246"/>
      <c s="2246"/>
      <c s="2247"/>
      <c s="2245" t="str">
        <f>INDEX(PT_DIFFERENTIATION_CS,MATCH(C45,PT_DIFFERENTIATION_CS_ID,0))</f>
        <v/>
      </c>
      <c s="2246"/>
      <c s="2246"/>
      <c s="2246"/>
      <c s="2246"/>
      <c s="2246"/>
      <c s="2246"/>
      <c s="2246"/>
      <c s="2247"/>
      <c s="1261" t="s">
        <v>400</v>
      </c>
      <c r="AO45" s="503"/>
      <c s="503" t="str">
        <f>IF(T45="","",T45)</f>
        <v>Наименование системы теплоснабжения</v>
      </c>
      <c s="503"/>
      <c s="503"/>
      <c s="1158">
        <v>23</v>
      </c>
    </row>
    <row r="46" spans="1:45" ht="22.05" customHeight="1">
      <c r="A46" s="1366" t="s">
        <v>188</v>
      </c>
      <c s="1366" t="s">
        <v>189</v>
      </c>
      <c s="1366" t="s">
        <v>190</v>
      </c>
      <c s="1366" t="s">
        <v>191</v>
      </c>
      <c s="2262"/>
      <c s="2262"/>
      <c s="2262"/>
      <c s="2261">
        <v>1</v>
      </c>
      <c s="1366"/>
      <c s="1366"/>
      <c s="1366"/>
      <c s="1367"/>
      <c s="1368"/>
      <c s="1368"/>
      <c s="1368"/>
      <c s="357"/>
      <c s="355"/>
      <c s="356"/>
      <c s="1339" t="str">
        <f>INDEX(PT_DIFFERENTIATION_NUM_IST_TE,MATCH(D46,PT_DIFFERENTIATION_IST_TE_ID,0))</f>
        <v>...</v>
      </c>
      <c s="313" t="s">
        <v>401</v>
      </c>
      <c s="303"/>
      <c s="2245"/>
      <c s="2246"/>
      <c s="2246"/>
      <c s="2246"/>
      <c s="2246"/>
      <c s="2246"/>
      <c s="2246"/>
      <c s="2247"/>
      <c s="2245" t="str">
        <f>INDEX(PT_DIFFERENTIATION_IST_TE,MATCH(D46,PT_DIFFERENTIATION_IST_TE_ID,0))</f>
        <v/>
      </c>
      <c s="2246"/>
      <c s="2246"/>
      <c s="2246"/>
      <c s="2246"/>
      <c s="2246"/>
      <c s="2246"/>
      <c s="2246"/>
      <c s="2247"/>
      <c s="1261" t="s">
        <v>402</v>
      </c>
      <c r="AO46" s="503"/>
      <c s="503" t="str">
        <f>IF(T46="","",T46)</f>
        <v>Источник тепловой энергии</v>
      </c>
      <c s="503"/>
      <c s="503"/>
      <c s="1158">
        <v>21</v>
      </c>
    </row>
    <row r="47" spans="1:45" s="1645" customFormat="1" ht="0" customHeight="1">
      <c r="A47" s="1346" t="s">
        <v>188</v>
      </c>
      <c s="1346" t="s">
        <v>189</v>
      </c>
      <c s="1346" t="s">
        <v>190</v>
      </c>
      <c s="1346" t="s">
        <v>191</v>
      </c>
      <c s="2262"/>
      <c s="2262"/>
      <c s="2262"/>
      <c s="2262"/>
      <c s="2259" t="str">
        <f>S46&amp;".1"</f>
        <v>....1</v>
      </c>
      <c s="1346"/>
      <c s="1346"/>
      <c s="1349" t="s">
        <v>403</v>
      </c>
      <c s="513"/>
      <c s="513"/>
      <c s="513"/>
      <c s="2260">
        <v>1</v>
      </c>
      <c s="1334"/>
      <c s="359"/>
      <c s="1045"/>
      <c s="1386"/>
      <c s="1387"/>
      <c s="2299"/>
      <c s="2300"/>
      <c s="2300"/>
      <c s="2300"/>
      <c s="2300"/>
      <c s="2300"/>
      <c s="2300"/>
      <c s="2301"/>
      <c s="2299"/>
      <c s="2300"/>
      <c s="2300"/>
      <c s="2300"/>
      <c s="2300"/>
      <c s="2300"/>
      <c s="2300"/>
      <c s="2300"/>
      <c s="2301"/>
      <c s="1388"/>
      <c r="AO47" s="503"/>
      <c s="503" t="str">
        <f>IF(T47="","",T47)</f>
        <v/>
      </c>
      <c s="503"/>
      <c s="503"/>
      <c s="514">
        <v>0</v>
      </c>
    </row>
    <row r="48" spans="1:45" ht="22.05" customHeight="1">
      <c r="A48" s="1366" t="s">
        <v>188</v>
      </c>
      <c s="1366" t="s">
        <v>189</v>
      </c>
      <c s="1366" t="s">
        <v>190</v>
      </c>
      <c s="1366" t="s">
        <v>191</v>
      </c>
      <c s="2262"/>
      <c s="2262"/>
      <c s="2262"/>
      <c s="2262"/>
      <c s="2289"/>
      <c s="2259" t="str">
        <f>S46&amp;".1"</f>
        <v>....1</v>
      </c>
      <c s="1366"/>
      <c s="1367" t="s">
        <v>406</v>
      </c>
      <c r="P48" s="2260"/>
      <c s="2260">
        <v>1</v>
      </c>
      <c s="360"/>
      <c s="1339" t="str">
        <f>$J48</f>
        <v>....1</v>
      </c>
      <c s="289" t="s">
        <v>407</v>
      </c>
      <c s="303"/>
      <c s="2248"/>
      <c s="2249"/>
      <c s="2249"/>
      <c s="2249"/>
      <c s="2249"/>
      <c s="2249"/>
      <c s="2249"/>
      <c s="2250"/>
      <c s="2248"/>
      <c s="2249"/>
      <c s="2249"/>
      <c s="2249"/>
      <c s="2249"/>
      <c s="2249"/>
      <c s="2249"/>
      <c s="2249"/>
      <c s="2250"/>
      <c s="1261" t="s">
        <v>408</v>
      </c>
      <c r="AO48" s="503"/>
      <c s="503" t="str">
        <f>IF(T48="","",T48)</f>
        <v>Группа потребителей</v>
      </c>
      <c s="503"/>
      <c s="503"/>
      <c s="1158">
        <v>21</v>
      </c>
    </row>
    <row r="49" spans="1:45" ht="22.05" customHeight="1">
      <c r="A49" s="1366" t="s">
        <v>188</v>
      </c>
      <c s="1366" t="s">
        <v>189</v>
      </c>
      <c s="1366" t="s">
        <v>190</v>
      </c>
      <c s="1366" t="s">
        <v>191</v>
      </c>
      <c s="2262"/>
      <c s="2262"/>
      <c s="2262"/>
      <c s="2262"/>
      <c s="2289"/>
      <c s="2289"/>
      <c s="2259" t="str">
        <f>J48&amp;".1"</f>
        <v>....1.1</v>
      </c>
      <c s="1367" t="s">
        <v>409</v>
      </c>
      <c r="P49" s="2260"/>
      <c s="2260"/>
      <c s="360">
        <v>1</v>
      </c>
      <c s="1339" t="str">
        <f>$K49</f>
        <v>....1.1</v>
      </c>
      <c s="1350"/>
      <c s="303"/>
      <c s="754"/>
      <c s="328"/>
      <c s="754"/>
      <c s="1260"/>
      <c s="2268"/>
      <c s="2110" t="s">
        <v>65</v>
      </c>
      <c s="2268"/>
      <c s="2110" t="s">
        <v>65</v>
      </c>
      <c s="754"/>
      <c s="328"/>
      <c s="754"/>
      <c s="1260"/>
      <c s="2268"/>
      <c s="2110" t="s">
        <v>65</v>
      </c>
      <c s="2290"/>
      <c s="2110" t="s">
        <v>65</v>
      </c>
      <c s="1351"/>
      <c s="2256" t="s">
        <v>451</v>
      </c>
      <c s="514">
        <f>STRCHECKDATE(V50:AL50)</f>
      </c>
      <c s="503"/>
      <c s="503" t="str">
        <f>IF(T49="","",T49)</f>
        <v/>
      </c>
      <c s="503"/>
      <c s="503"/>
      <c s="1158">
        <v>21</v>
      </c>
    </row>
    <row r="50" spans="1:45" ht="0" customHeight="1">
      <c r="A50" s="1366" t="s">
        <v>188</v>
      </c>
      <c s="1366" t="s">
        <v>189</v>
      </c>
      <c s="1366" t="s">
        <v>190</v>
      </c>
      <c s="1366" t="s">
        <v>191</v>
      </c>
      <c s="2262"/>
      <c s="2262"/>
      <c s="2262"/>
      <c s="2262"/>
      <c s="2289"/>
      <c s="2289"/>
      <c s="2259"/>
      <c s="1367"/>
      <c r="P50" s="2260"/>
      <c s="2260"/>
      <c s="360"/>
      <c s="1345"/>
      <c s="303"/>
      <c s="303"/>
      <c s="328"/>
      <c s="328"/>
      <c s="328"/>
      <c s="331" t="str">
        <f>Z49&amp;"-"&amp;AB49</f>
        <v>-</v>
      </c>
      <c s="2269"/>
      <c s="2110"/>
      <c s="2269"/>
      <c s="2110"/>
      <c s="328"/>
      <c s="328"/>
      <c s="328"/>
      <c s="331" t="str">
        <f>AH49&amp;"-"&amp;AJ49</f>
        <v>-</v>
      </c>
      <c s="2269"/>
      <c s="2110"/>
      <c s="2291"/>
      <c s="2110"/>
      <c s="1352"/>
      <c s="2257"/>
      <c r="AO50" s="503"/>
      <c s="503" t="str">
        <f>IF(T50="","",T50)</f>
        <v/>
      </c>
      <c s="503"/>
      <c s="503"/>
      <c s="1158">
        <v>0</v>
      </c>
    </row>
    <row r="51" spans="1:45" ht="11.55" customHeight="1">
      <c r="A51" s="1366" t="s">
        <v>188</v>
      </c>
      <c s="1366" t="s">
        <v>189</v>
      </c>
      <c s="1366" t="s">
        <v>190</v>
      </c>
      <c s="1366" t="s">
        <v>191</v>
      </c>
      <c s="2262"/>
      <c s="2262"/>
      <c s="2262"/>
      <c s="2262"/>
      <c s="2289"/>
      <c s="2259"/>
      <c s="1366"/>
      <c s="1367"/>
      <c r="P51" s="2260"/>
      <c s="2260"/>
      <c s="359"/>
      <c s="1281"/>
      <c s="290" t="s">
        <v>411</v>
      </c>
      <c s="370"/>
      <c s="370"/>
      <c s="370"/>
      <c s="370"/>
      <c s="370"/>
      <c s="370"/>
      <c s="370"/>
      <c s="370"/>
      <c s="370"/>
      <c s="370"/>
      <c s="370"/>
      <c s="370"/>
      <c s="370"/>
      <c s="370"/>
      <c s="370"/>
      <c s="370"/>
      <c s="370"/>
      <c s="327"/>
      <c s="2258"/>
      <c r="AO51" s="503"/>
      <c s="503" t="str">
        <f>IF(T51="","",T51)</f>
        <v>Добавить вид теплоносителя (параметры теплоносителя)</v>
      </c>
      <c s="503"/>
      <c s="503"/>
      <c s="1158">
        <v>11</v>
      </c>
    </row>
    <row r="52" spans="1:45" ht="11.55" customHeight="1">
      <c r="A52" s="1366" t="s">
        <v>188</v>
      </c>
      <c s="1366" t="s">
        <v>189</v>
      </c>
      <c s="1366" t="s">
        <v>190</v>
      </c>
      <c s="1366" t="s">
        <v>191</v>
      </c>
      <c s="2262"/>
      <c s="2262"/>
      <c s="2262"/>
      <c s="2262"/>
      <c s="2259"/>
      <c s="1366"/>
      <c s="1366"/>
      <c s="1367"/>
      <c r="P52" s="2260"/>
      <c s="1334"/>
      <c s="359"/>
      <c s="1281"/>
      <c s="368" t="s">
        <v>412</v>
      </c>
      <c s="370"/>
      <c s="370"/>
      <c s="370"/>
      <c s="370"/>
      <c s="370"/>
      <c s="370"/>
      <c s="370"/>
      <c s="370"/>
      <c s="369"/>
      <c s="370"/>
      <c s="370"/>
      <c s="370"/>
      <c s="370"/>
      <c s="370"/>
      <c s="370"/>
      <c s="370"/>
      <c s="369"/>
      <c s="370"/>
      <c s="306"/>
      <c r="AO52" s="503"/>
      <c s="503" t="str">
        <f>IF(T52="","",T52)</f>
        <v>Добавить группу потребителей</v>
      </c>
      <c s="503"/>
      <c s="503"/>
      <c s="1158">
        <v>11</v>
      </c>
    </row>
    <row r="53" spans="1:45" ht="0" customHeight="1">
      <c r="A53" s="1366" t="s">
        <v>188</v>
      </c>
      <c s="1366" t="s">
        <v>189</v>
      </c>
      <c s="1366" t="s">
        <v>190</v>
      </c>
      <c s="1366" t="s">
        <v>191</v>
      </c>
      <c s="2262"/>
      <c s="2262"/>
      <c s="2262"/>
      <c s="2261"/>
      <c s="1366"/>
      <c s="1366"/>
      <c s="1366"/>
      <c s="1367"/>
      <c s="1368"/>
      <c s="1368"/>
      <c s="540"/>
      <c s="363"/>
      <c s="378"/>
      <c s="358"/>
      <c s="1389"/>
      <c s="1390"/>
      <c s="1391"/>
      <c s="1391"/>
      <c s="1391"/>
      <c s="1391"/>
      <c s="1391"/>
      <c s="1391"/>
      <c s="1391"/>
      <c s="1391"/>
      <c s="1391"/>
      <c s="1391"/>
      <c s="1391"/>
      <c s="1391"/>
      <c s="1391"/>
      <c s="1391"/>
      <c s="1391"/>
      <c s="1391"/>
      <c s="1391"/>
      <c s="1391"/>
      <c s="1392"/>
      <c r="AO53" s="503"/>
      <c s="503" t="str">
        <f>IF(T53="","",T53)</f>
        <v/>
      </c>
      <c s="503"/>
      <c s="503"/>
      <c s="1158">
        <v>0</v>
      </c>
    </row>
    <row r="54" spans="1:45" s="1645" customFormat="1" ht="0" customHeight="1">
      <c r="A54" s="1346" t="s">
        <v>188</v>
      </c>
      <c s="1346" t="s">
        <v>189</v>
      </c>
      <c s="1346" t="s">
        <v>190</v>
      </c>
      <c s="1317"/>
      <c s="2262"/>
      <c s="2262"/>
      <c s="2261"/>
      <c s="1317"/>
      <c s="1317"/>
      <c s="1317"/>
      <c s="1317"/>
      <c s="1342"/>
      <c s="1318"/>
      <c s="1318"/>
      <c r="P54" s="1319"/>
      <c s="1320"/>
      <c s="1319"/>
      <c s="1325"/>
      <c s="1328" t="s">
        <v>414</v>
      </c>
      <c s="1327"/>
      <c s="1327"/>
      <c s="1327"/>
      <c s="1327"/>
      <c s="1327"/>
      <c s="1327"/>
      <c s="1327"/>
      <c s="1327"/>
      <c s="1327"/>
      <c s="1327"/>
      <c s="1327"/>
      <c s="1327"/>
      <c s="1327"/>
      <c s="1327"/>
      <c s="1327"/>
      <c s="1327"/>
      <c s="1327"/>
      <c s="1327"/>
      <c s="1327"/>
      <c r="AO54" s="792"/>
      <c s="792" t="str">
        <f>IF(T54="","",T54)</f>
        <v>Добавить источник для дифференциации</v>
      </c>
      <c s="792"/>
      <c s="792"/>
      <c s="521">
        <v>0</v>
      </c>
    </row>
    <row r="55" spans="1:45" s="1645" customFormat="1" ht="0" customHeight="1">
      <c r="A55" s="1346" t="s">
        <v>188</v>
      </c>
      <c s="1346" t="s">
        <v>189</v>
      </c>
      <c s="1317"/>
      <c s="1317"/>
      <c s="2262"/>
      <c s="2261"/>
      <c s="1317"/>
      <c s="1317"/>
      <c s="1317"/>
      <c s="1317"/>
      <c s="1317"/>
      <c s="1342"/>
      <c s="1324"/>
      <c s="1324"/>
      <c r="P55" s="1319"/>
      <c s="1320"/>
      <c s="1319"/>
      <c s="1325"/>
      <c s="1328" t="s">
        <v>415</v>
      </c>
      <c s="1327"/>
      <c s="1327"/>
      <c s="1327"/>
      <c s="1327"/>
      <c s="1327"/>
      <c s="1327"/>
      <c s="1327"/>
      <c s="1327"/>
      <c s="1327"/>
      <c s="1327"/>
      <c s="1327"/>
      <c s="1327"/>
      <c s="1327"/>
      <c s="1327"/>
      <c s="1327"/>
      <c s="1327"/>
      <c s="1327"/>
      <c s="1327"/>
      <c s="1327"/>
      <c r="AO55" s="792"/>
      <c s="792" t="str">
        <f>IF(T55="","",T55)</f>
        <v>Добавить централизованную систему для дифференциации</v>
      </c>
      <c s="792"/>
      <c s="792"/>
      <c s="521">
        <v>0</v>
      </c>
    </row>
    <row r="56" spans="1:45" s="1645" customFormat="1" ht="0" customHeight="1">
      <c r="A56" s="1346" t="s">
        <v>188</v>
      </c>
      <c s="1346"/>
      <c s="1346"/>
      <c s="1346"/>
      <c s="2261"/>
      <c s="1346"/>
      <c s="1346"/>
      <c s="1346"/>
      <c s="1346"/>
      <c s="1346"/>
      <c s="1346"/>
      <c s="1349"/>
      <c s="1324"/>
      <c s="1324"/>
      <c s="521"/>
      <c s="383"/>
      <c s="1347"/>
      <c s="383"/>
      <c s="1325"/>
      <c s="1328" t="s">
        <v>416</v>
      </c>
      <c s="1327"/>
      <c s="1327"/>
      <c s="1327"/>
      <c s="1327"/>
      <c s="1327"/>
      <c s="1327"/>
      <c s="1327"/>
      <c s="1327"/>
      <c s="1327"/>
      <c s="1327"/>
      <c s="1327"/>
      <c s="1327"/>
      <c s="1327"/>
      <c s="1327"/>
      <c s="1327"/>
      <c s="1327"/>
      <c s="1327"/>
      <c s="1327"/>
      <c s="1327"/>
      <c r="AO56" s="503"/>
      <c s="503" t="str">
        <f>IF(T56="","",T56)</f>
        <v>Добавить территорию для дифференциации</v>
      </c>
      <c s="503"/>
      <c s="503"/>
      <c s="514">
        <v>0</v>
      </c>
    </row>
    <row r="57" spans="1:45" s="1645" customFormat="1" ht="4.2" customHeight="1">
      <c r="A57" s="1317"/>
      <c s="1317"/>
      <c s="1317"/>
      <c s="1317"/>
      <c s="1346"/>
      <c s="1317"/>
      <c s="1317"/>
      <c s="1317"/>
      <c s="1317"/>
      <c s="1317"/>
      <c s="1317"/>
      <c s="1342"/>
      <c s="1324"/>
      <c s="1324"/>
      <c r="P57" s="1319"/>
      <c s="1320"/>
      <c s="1319"/>
      <c s="1325"/>
      <c s="1328" t="s">
        <v>448</v>
      </c>
      <c s="1327"/>
      <c s="1327"/>
      <c s="1327"/>
      <c s="1327"/>
      <c s="1327"/>
      <c s="1327"/>
      <c s="1327"/>
      <c s="1327"/>
      <c s="1327"/>
      <c s="1327"/>
      <c s="1327"/>
      <c s="1327"/>
      <c s="1327"/>
      <c s="1327"/>
      <c s="1327"/>
      <c s="1327"/>
      <c s="1327"/>
      <c s="1327"/>
      <c s="1327"/>
      <c r="AO57" s="792"/>
      <c s="792" t="str">
        <f>IF(T57="","",T57)</f>
        <v>Добавить наименование тарифа</v>
      </c>
      <c s="792"/>
      <c s="792"/>
      <c s="521">
        <v>4</v>
      </c>
    </row>
    <row r="58" spans="13:45" ht="11.55" customHeight="1">
      <c r="M58" s="1163"/>
      <c s="1163"/>
      <c s="540"/>
      <c s="1158"/>
      <c s="1158"/>
      <c s="1158"/>
      <c s="1158"/>
      <c r="AN58" s="1158"/>
      <c s="1158"/>
      <c s="1158"/>
      <c s="1158"/>
      <c s="1158"/>
      <c s="1158">
        <v>11</v>
      </c>
    </row>
    <row r="59" spans="15:45" ht="14.7" customHeight="1">
      <c r="O59" s="540"/>
      <c r="S59" s="1256"/>
      <c s="2288"/>
      <c s="2288"/>
      <c s="2288"/>
      <c s="2288"/>
      <c s="2288"/>
      <c s="2288"/>
      <c s="2288"/>
      <c s="2288"/>
      <c s="2288"/>
      <c s="2288"/>
      <c s="2288"/>
      <c s="2288"/>
      <c s="2288"/>
      <c s="2288"/>
      <c s="2288"/>
      <c s="2288"/>
      <c s="2288"/>
      <c s="2288"/>
      <c s="2288"/>
      <c s="2288"/>
      <c r="AS59" s="1158">
        <v>14</v>
      </c>
    </row>
    <row r="60" spans="15:45" ht="14.7" customHeight="1">
      <c r="O60" s="540"/>
      <c r="T60" s="2288"/>
      <c s="2288"/>
      <c s="2288"/>
      <c s="2288"/>
      <c s="2288"/>
      <c s="2288"/>
      <c s="2288"/>
      <c s="2288"/>
      <c s="2288"/>
      <c s="2288"/>
      <c s="2288"/>
      <c s="2288"/>
      <c s="2288"/>
      <c s="2288"/>
      <c s="2288"/>
      <c s="2288"/>
      <c s="2288"/>
      <c s="2288"/>
      <c s="2288"/>
      <c s="2288"/>
      <c r="AS60" s="1158">
        <v>14</v>
      </c>
    </row>
    <row r="61" spans="15:45" ht="14.7" customHeight="1">
      <c r="O61" s="540"/>
      <c r="T61" s="2288"/>
      <c s="2288"/>
      <c s="2288"/>
      <c s="2288"/>
      <c s="2288"/>
      <c s="2288"/>
      <c s="2288"/>
      <c s="2288"/>
      <c s="2288"/>
      <c s="2288"/>
      <c s="2288"/>
      <c s="2288"/>
      <c s="2288"/>
      <c s="2288"/>
      <c s="2288"/>
      <c s="2288"/>
      <c s="2288"/>
      <c s="2288"/>
      <c s="2288"/>
      <c s="2288"/>
      <c r="AS61" s="1158">
        <v>14</v>
      </c>
    </row>
    <row r="62" spans="15:45" ht="14.7" customHeight="1">
      <c r="O62" s="540"/>
      <c r="AS62" s="1158">
        <v>14</v>
      </c>
    </row>
    <row r="63" spans="15:45" ht="14.7" customHeight="1">
      <c r="O63" s="540"/>
      <c r="S63" s="1256"/>
      <c s="2302"/>
      <c s="2288"/>
      <c s="2288"/>
      <c s="2288"/>
      <c s="2288"/>
      <c s="2288"/>
      <c s="2288"/>
      <c s="2288"/>
      <c s="2288"/>
      <c s="2288"/>
      <c s="2288"/>
      <c s="2288"/>
      <c s="2288"/>
      <c s="2288"/>
      <c s="2288"/>
      <c s="2288"/>
      <c s="2288"/>
      <c s="2288"/>
      <c s="2288"/>
      <c s="2288"/>
      <c r="AS63" s="1158">
        <v>14</v>
      </c>
    </row>
    <row r="64" spans="15:45" ht="14.7" customHeight="1">
      <c r="O64" s="540"/>
      <c r="T64" s="2288"/>
      <c s="2288"/>
      <c s="2288"/>
      <c s="2288"/>
      <c s="2288"/>
      <c s="2288"/>
      <c s="2288"/>
      <c s="2288"/>
      <c s="2288"/>
      <c s="2288"/>
      <c s="2288"/>
      <c s="2288"/>
      <c s="2288"/>
      <c s="2288"/>
      <c s="2288"/>
      <c s="2288"/>
      <c s="2288"/>
      <c s="2288"/>
      <c s="2288"/>
      <c s="2288"/>
      <c r="AS64" s="1158">
        <v>14</v>
      </c>
    </row>
    <row r="65" spans="20:45" ht="14.7" customHeight="1">
      <c r="T65" s="2288"/>
      <c s="2288"/>
      <c s="2288"/>
      <c s="2288"/>
      <c s="2288"/>
      <c s="2288"/>
      <c s="2288"/>
      <c s="2288"/>
      <c s="2288"/>
      <c s="2288"/>
      <c s="2288"/>
      <c s="2288"/>
      <c s="2288"/>
      <c s="2288"/>
      <c s="2288"/>
      <c s="2288"/>
      <c s="2288"/>
      <c s="2288"/>
      <c s="2288"/>
      <c s="2288"/>
      <c r="AS65" s="1158">
        <v>14</v>
      </c>
    </row>
    <row r="66" spans="1:45" ht="22.5" customHeight="1" hidden="1">
      <c r="A66" s="1163" t="s">
        <v>81</v>
      </c>
      <c s="1163">
        <v>0</v>
      </c>
      <c s="1163">
        <v>0</v>
      </c>
      <c s="1163">
        <v>0</v>
      </c>
      <c s="1163">
        <v>0</v>
      </c>
      <c s="1163">
        <v>0</v>
      </c>
      <c s="1163">
        <v>0</v>
      </c>
      <c s="1163">
        <v>0</v>
      </c>
      <c s="1163">
        <v>0</v>
      </c>
      <c s="1163">
        <v>0</v>
      </c>
      <c s="1163">
        <v>0</v>
      </c>
      <c s="1332">
        <v>0</v>
      </c>
      <c s="1365">
        <v>0</v>
      </c>
      <c s="1365">
        <v>0</v>
      </c>
      <c s="1365">
        <v>0</v>
      </c>
      <c s="1331">
        <v>0</v>
      </c>
      <c s="347">
        <v>3</v>
      </c>
      <c s="347">
        <v>3</v>
      </c>
      <c s="584">
        <v>12</v>
      </c>
      <c s="1158">
        <v>31</v>
      </c>
      <c s="1158">
        <v>0</v>
      </c>
      <c s="1158">
        <v>0</v>
      </c>
      <c s="1158">
        <v>0</v>
      </c>
      <c s="1158">
        <v>0</v>
      </c>
      <c s="1158">
        <v>0</v>
      </c>
      <c s="1158">
        <v>0</v>
      </c>
      <c s="1158">
        <v>0</v>
      </c>
      <c s="1158">
        <v>0</v>
      </c>
      <c s="1158">
        <v>0</v>
      </c>
      <c s="1158">
        <v>24</v>
      </c>
      <c s="1158">
        <v>0</v>
      </c>
      <c s="1158">
        <v>24</v>
      </c>
      <c s="1158">
        <v>24</v>
      </c>
      <c s="1158">
        <v>11</v>
      </c>
      <c s="1158">
        <v>3</v>
      </c>
      <c s="1158">
        <v>11</v>
      </c>
      <c s="1158">
        <v>0</v>
      </c>
      <c s="1158">
        <v>4</v>
      </c>
      <c s="1158">
        <v>115</v>
      </c>
      <c s="514">
        <v>10</v>
      </c>
      <c s="514">
        <v>10</v>
      </c>
      <c s="514">
        <v>10</v>
      </c>
      <c s="514">
        <v>10</v>
      </c>
      <c s="514">
        <v>10</v>
      </c>
      <c s="1158">
        <v>23</v>
      </c>
    </row>
  </sheetData>
  <sheetProtection formatColumns="0" formatRows="0" insertRows="0" deleteColumns="0" deleteRows="0" sort="0" autoFilter="0"/>
  <mergeCells count="113">
    <mergeCell ref="V37:AC37"/>
    <mergeCell ref="AD37:AK37"/>
    <mergeCell ref="AI49:AI50"/>
    <mergeCell ref="AJ49:AJ50"/>
    <mergeCell ref="AK49:AK50"/>
    <mergeCell ref="T65:AM65"/>
    <mergeCell ref="S34:T34"/>
    <mergeCell ref="V34:AB34"/>
    <mergeCell ref="AD34:AJ34"/>
    <mergeCell ref="S35:T35"/>
    <mergeCell ref="V35:AB35"/>
    <mergeCell ref="AD35:AJ35"/>
    <mergeCell ref="T63:AM63"/>
    <mergeCell ref="T64:AM64"/>
    <mergeCell ref="AM49:AM51"/>
    <mergeCell ref="T59:AM59"/>
    <mergeCell ref="T60:AM60"/>
    <mergeCell ref="T61:AM61"/>
    <mergeCell ref="V47:AC47"/>
    <mergeCell ref="AD47:AL47"/>
    <mergeCell ref="AA42:AB42"/>
    <mergeCell ref="AI42:AJ42"/>
    <mergeCell ref="AE40:AE41"/>
    <mergeCell ref="AF40:AG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I41:AJ41"/>
    <mergeCell ref="AH40:AJ40"/>
    <mergeCell ref="AA41:AB41"/>
    <mergeCell ref="S31:T31"/>
    <mergeCell ref="V31:AB31"/>
    <mergeCell ref="AD31:AJ31"/>
    <mergeCell ref="S32:T32"/>
    <mergeCell ref="V32:AB32"/>
    <mergeCell ref="AD32:AJ32"/>
    <mergeCell ref="S27:AJ27"/>
    <mergeCell ref="S29:T29"/>
    <mergeCell ref="V29:AB29"/>
    <mergeCell ref="AD29:AJ29"/>
    <mergeCell ref="S30:T30"/>
    <mergeCell ref="V30:AB30"/>
    <mergeCell ref="AD30:AJ30"/>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S26:AJ26"/>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sqref="S65587:AM65593 S131123:AM131129 S196659:AM196665 S262195:AM262201 S327731:AM327737 S393267:AM393273 S458803:AM458809 S524339:AM524345 S589875:AM589881 S655411:AM655417 S720947:AM720953 S786483:AM786489 S852019:AM852025 S917555:AM917561 S983091:AM983097"/>
    <dataValidation type="list" allowBlank="1" showInputMessage="1" showErrorMessage="1" errorTitle="Ошибка" error="Выберите значение из списка" sqref="V65583:W65583 V983087:W983087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prompt="Выберите значение из списка" errorTitle="Ошибка" error="Выберите значение из списка" sqref="V65584:AL65584 V983088:AL983088 V131120:AL131120 V196656:AL196656 V262192:AL262192 V327728:AL327728 V393264:AL393264 V458800:AL458800 V524336:AL524336 V589872:AL589872 V655408:AL655408 V720944:AL720944 V786480:AL786480 V852016:AL852016 V917552:AL917552">
      <formula1>kind_of_cons</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8 Z65585 Z131121 Z196657 Z262193 Z327729 Z393265 Z458801 Z524337 Z589873 Z655409 Z720945 Z786481 Z852017 Z917553 Z983089 AB65585 AB131121 AB196657 AB262193 AB327729 AB393265 AB458801 AB524337 AB589873 AB655409 AB720945 AB786481 AB852017 AB917553 AB983089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promptTitle="checkPeriodRange" sqref="Y9 Y65586 Y131122 Y196658 Y262194 Y327730 Y393266 Y458802 Y524338 Y589874 Y655410 Y720946 Y786482 Y852018 Y917554 Y983090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8 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I17 AK262193 AA49 AC49 AK327729"/>
  </dataValidations>
  <pageMargins left="0.7" right="0.7" top="0.75" bottom="0.75" header="0.3" footer="0.3"/>
  <pageSetup orientation="portrait"/>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m="http://schemas.microsoft.com/office/excel/2006/main" xmlns:x14ac="http://schemas.microsoft.com/office/spreadsheetml/2009/9/ac" xmlns:xr="http://schemas.microsoft.com/office/spreadsheetml/2014/revision" xmlns:xr2="http://schemas.microsoft.com/office/spreadsheetml/2015/revision2" xmlns:xr3="http://schemas.microsoft.com/office/spreadsheetml/2016/revision3" xr:uid="{A2ACE397-A9B3-0EB2-2D89-8019B896EDEA}" mc:Ignorable="x14ac xr xr2 xr3">
  <sheetPr>
    <tabColor theme="6" tint="0.400000005960464"/>
  </sheetPr>
  <dimension ref="A1:AW72"/>
  <sheetViews>
    <sheetView showGridLines="0" zoomScale="90" zoomScaleNormal="90" workbookViewId="0" topLeftCell="A1">
      <pane xSplit="32" ySplit="48" topLeftCell="AG49" activePane="bottomRight" state="frozen"/>
      <selection pane="topLeft" activeCell="A1" sqref="A1"/>
      <selection pane="bottomLeft" activeCell="A49" sqref="A49"/>
      <selection pane="topRight" activeCell="AG1" sqref="AG1"/>
      <selection pane="bottomRight" activeCell="A1" sqref="A1"/>
    </sheetView>
  </sheetViews>
  <sheetFormatPr defaultColWidth="10.5742857142857" defaultRowHeight="14.25" customHeight="1"/>
  <cols>
    <col min="1" max="1" width="10.5714285714286" style="1638" hidden="1"/>
    <col min="2" max="2" width="11" style="1638" hidden="1" customWidth="1"/>
    <col min="3" max="3" width="10.5714285714286" style="1638" hidden="1"/>
    <col min="4" max="4" width="11.8571428571429" style="1638" hidden="1" customWidth="1"/>
    <col min="5" max="5" width="10" style="1638" hidden="1" customWidth="1"/>
    <col min="6" max="6" width="8.71428571428571" style="1638" hidden="1" customWidth="1"/>
    <col min="7" max="7" width="7.57142857142857" style="1638" hidden="1" customWidth="1"/>
    <col min="8" max="8" width="11.4285714285714" style="1638" hidden="1" customWidth="1"/>
    <col min="9" max="9" width="12" style="1638" hidden="1" customWidth="1"/>
    <col min="10" max="10" width="9.85714285714286" style="1638" hidden="1" customWidth="1"/>
    <col min="11" max="12" width="11.4285714285714" style="1638" hidden="1" customWidth="1"/>
    <col min="13" max="13" width="19.1428571428571" style="2128" hidden="1" customWidth="1"/>
    <col min="14" max="15" width="12.2857142857143" style="2400" hidden="1" customWidth="1"/>
    <col min="16" max="16" width="23.4285714285714" style="2400" hidden="1" customWidth="1"/>
    <col min="17" max="17" width="3.71428571428571" style="2400" hidden="1" customWidth="1"/>
    <col min="18" max="20" width="3" style="347" customWidth="1"/>
    <col min="21" max="21" width="12" style="2410" customWidth="1"/>
    <col min="22" max="22" width="31" style="1638" customWidth="1"/>
    <col min="23" max="23" width="0.142857142857143" style="1638" customWidth="1"/>
    <col min="24" max="28" width="21.7142857142857" style="1638" hidden="1" customWidth="1"/>
    <col min="29" max="29" width="11.7142857142857" style="1638" hidden="1" customWidth="1"/>
    <col min="30" max="30" width="3.71428571428571" style="1638" hidden="1" customWidth="1"/>
    <col min="31" max="31" width="11.7142857142857" style="1638" hidden="1" customWidth="1"/>
    <col min="32" max="32" width="8.57142857142857" style="1638" hidden="1" customWidth="1"/>
    <col min="33" max="33" width="21.7142857142857" style="1638" customWidth="1"/>
    <col min="34" max="37" width="21" style="1638" customWidth="1"/>
    <col min="38" max="38" width="11" style="1638" customWidth="1"/>
    <col min="39" max="39" width="3.71428571428571" style="1638" customWidth="1"/>
    <col min="40" max="40" width="11" style="1638" customWidth="1"/>
    <col min="41" max="41" width="8.57142857142857" style="1638" hidden="1" customWidth="1"/>
    <col min="42" max="42" width="4" style="1638" customWidth="1"/>
    <col min="43" max="43" width="115" style="1638" customWidth="1"/>
    <col min="44" max="48" width="10" style="1645" customWidth="1"/>
    <col min="49" max="49" width="10.5714285714286" style="1638" hidden="1"/>
  </cols>
  <sheetData>
    <row r="1" spans="28:49" ht="22.5" customHeight="1" hidden="1">
      <c r="AB1" s="330"/>
      <c s="330"/>
      <c r="AK1" s="330"/>
      <c s="330"/>
      <c r="AW1" s="1158" t="s">
        <v>14</v>
      </c>
    </row>
    <row r="2" spans="1:49" ht="21" customHeight="1" hidden="1">
      <c r="A2" s="1270"/>
      <c s="1270"/>
      <c s="1270"/>
      <c s="1270"/>
      <c s="2292">
        <v>1</v>
      </c>
      <c s="1270"/>
      <c s="1270"/>
      <c s="1270"/>
      <c s="1270"/>
      <c s="1270"/>
      <c s="1270"/>
      <c s="1270"/>
      <c s="1313"/>
      <c s="691"/>
      <c s="691"/>
      <c s="691"/>
      <c s="364"/>
      <c s="363"/>
      <c s="363"/>
      <c s="358"/>
      <c s="1339">
        <f>INDEX(PT_DIFFERENTIATION_NUM_NTAR,MATCH(A2,PT_DIFFERENTIATION_NTAR_ID,0))</f>
      </c>
      <c s="301" t="s">
        <v>125</v>
      </c>
      <c s="303"/>
      <c s="2245"/>
      <c s="2246"/>
      <c s="2246"/>
      <c s="2246"/>
      <c s="2246"/>
      <c s="2246"/>
      <c s="2246"/>
      <c s="2246"/>
      <c s="2247"/>
      <c s="2245">
        <f>INDEX(PT_DIFFERENTIATION_NTAR,MATCH(A2,PT_DIFFERENTIATION_NTAR_ID,0))</f>
      </c>
      <c s="2246"/>
      <c s="2246"/>
      <c s="2246"/>
      <c s="2246"/>
      <c s="2246"/>
      <c s="2246"/>
      <c s="2246"/>
      <c s="2246"/>
      <c s="2247"/>
      <c s="1261" t="s">
        <v>396</v>
      </c>
      <c r="AS2" s="503"/>
      <c s="503" t="str">
        <f>IF(V2="","",V2)</f>
        <v>Наименование тарифа</v>
      </c>
      <c s="503"/>
      <c s="503"/>
      <c s="1158">
        <v>0</v>
      </c>
    </row>
    <row r="3" spans="1:49" ht="21" customHeight="1" hidden="1">
      <c r="A3" s="1270"/>
      <c s="1270"/>
      <c s="1270"/>
      <c s="1270"/>
      <c s="2293"/>
      <c s="2292">
        <v>1</v>
      </c>
      <c s="1270"/>
      <c s="1270"/>
      <c s="1270"/>
      <c s="1270"/>
      <c s="1270"/>
      <c s="1270"/>
      <c s="1313"/>
      <c s="691"/>
      <c s="691"/>
      <c s="691"/>
      <c s="1335"/>
      <c s="355"/>
      <c s="512"/>
      <c s="356"/>
      <c s="1339">
        <f>INDEX(PT_DIFFERENTIATION_NUM_TER,MATCH(B3,PT_DIFFERENTIATION_TER_ID,0))</f>
      </c>
      <c s="311" t="s">
        <v>397</v>
      </c>
      <c s="303"/>
      <c s="2245"/>
      <c s="2246"/>
      <c s="2246"/>
      <c s="2246"/>
      <c s="2246"/>
      <c s="2246"/>
      <c s="2246"/>
      <c s="2246"/>
      <c s="2247"/>
      <c s="2245">
        <f>INDEX(PT_DIFFERENTIATION_TER,MATCH(B3,PT_DIFFERENTIATION_TER_ID,0))</f>
      </c>
      <c s="2246"/>
      <c s="2246"/>
      <c s="2246"/>
      <c s="2246"/>
      <c s="2246"/>
      <c s="2246"/>
      <c s="2246"/>
      <c s="2246"/>
      <c s="2247"/>
      <c s="1261" t="s">
        <v>398</v>
      </c>
      <c r="AS3" s="503"/>
      <c s="503" t="str">
        <f>IF(V3="","",V3)</f>
        <v>Территория действия тарифа</v>
      </c>
      <c s="503"/>
      <c s="503"/>
      <c s="1158">
        <v>0</v>
      </c>
    </row>
    <row r="4" spans="1:49" ht="22.5" customHeight="1" hidden="1">
      <c r="A4" s="1270"/>
      <c s="1270"/>
      <c s="1270"/>
      <c s="1270"/>
      <c s="2293"/>
      <c s="2293"/>
      <c s="2292">
        <v>1</v>
      </c>
      <c s="1270"/>
      <c s="1270"/>
      <c s="1270"/>
      <c s="1270"/>
      <c s="1270"/>
      <c s="1313"/>
      <c s="691"/>
      <c s="691"/>
      <c s="691"/>
      <c s="357"/>
      <c s="355"/>
      <c s="512"/>
      <c s="356"/>
      <c s="1339">
        <f>INDEX(PT_DIFFERENTIATION_NUM_CS,MATCH(C4,PT_DIFFERENTIATION_CS_ID,0))</f>
      </c>
      <c s="312" t="s">
        <v>399</v>
      </c>
      <c s="303"/>
      <c s="2245"/>
      <c s="2246"/>
      <c s="2246"/>
      <c s="2246"/>
      <c s="2246"/>
      <c s="2246"/>
      <c s="2246"/>
      <c s="2246"/>
      <c s="2247"/>
      <c s="2245">
        <f>INDEX(PT_DIFFERENTIATION_CS,MATCH(C4,PT_DIFFERENTIATION_CS_ID,0))</f>
      </c>
      <c s="2246"/>
      <c s="2246"/>
      <c s="2246"/>
      <c s="2246"/>
      <c s="2246"/>
      <c s="2246"/>
      <c s="2246"/>
      <c s="2246"/>
      <c s="2247"/>
      <c s="1261" t="s">
        <v>400</v>
      </c>
      <c r="AS4" s="503"/>
      <c s="503" t="str">
        <f>IF(V4="","",V4)</f>
        <v>Наименование системы теплоснабжения</v>
      </c>
      <c s="503"/>
      <c s="503"/>
      <c s="1158">
        <v>0</v>
      </c>
    </row>
    <row r="5" spans="1:49" ht="21" customHeight="1" hidden="1">
      <c r="A5" s="1270"/>
      <c s="1270"/>
      <c s="1270"/>
      <c s="1270"/>
      <c s="2293"/>
      <c s="2293"/>
      <c s="2293"/>
      <c s="2292">
        <v>1</v>
      </c>
      <c s="1270"/>
      <c s="1270"/>
      <c s="1270"/>
      <c s="1270"/>
      <c s="1313"/>
      <c s="691"/>
      <c s="691"/>
      <c s="691"/>
      <c s="357"/>
      <c s="355"/>
      <c s="512"/>
      <c s="356"/>
      <c s="1339">
        <f>INDEX(PT_DIFFERENTIATION_NUM_IST_TE,MATCH(D5,PT_DIFFERENTIATION_IST_TE_ID,0))</f>
      </c>
      <c s="313" t="s">
        <v>401</v>
      </c>
      <c s="303"/>
      <c s="2245"/>
      <c s="2246"/>
      <c s="2246"/>
      <c s="2246"/>
      <c s="2246"/>
      <c s="2246"/>
      <c s="2246"/>
      <c s="2246"/>
      <c s="2247"/>
      <c s="2245">
        <f>INDEX(PT_DIFFERENTIATION_IST_TE,MATCH(D5,PT_DIFFERENTIATION_IST_TE_ID,0))</f>
      </c>
      <c s="2246"/>
      <c s="2246"/>
      <c s="2246"/>
      <c s="2246"/>
      <c s="2246"/>
      <c s="2246"/>
      <c s="2246"/>
      <c s="2246"/>
      <c s="2247"/>
      <c s="1261" t="s">
        <v>402</v>
      </c>
      <c r="AS5" s="503"/>
      <c s="503" t="str">
        <f>IF(V5="","",V5)</f>
        <v>Источник тепловой энергии</v>
      </c>
      <c s="503"/>
      <c s="503"/>
      <c s="1158">
        <v>0</v>
      </c>
    </row>
    <row r="6" spans="1:49" ht="14.25" customHeight="1" hidden="1">
      <c r="A6" s="1270"/>
      <c s="1270"/>
      <c s="1270"/>
      <c s="1270"/>
      <c s="2293"/>
      <c s="2293"/>
      <c s="2293"/>
      <c s="2293"/>
      <c s="2130">
        <f>U5&amp;".1"</f>
      </c>
      <c s="1270"/>
      <c s="1270"/>
      <c s="1270"/>
      <c s="1313" t="s">
        <v>403</v>
      </c>
      <c s="512"/>
      <c r="Q6" s="2260">
        <v>1</v>
      </c>
      <c s="1334"/>
      <c s="1334"/>
      <c s="359"/>
      <c s="1045"/>
      <c s="1386"/>
      <c s="1387"/>
      <c s="2299"/>
      <c s="2300"/>
      <c s="2300"/>
      <c s="2300"/>
      <c s="2300"/>
      <c s="2300"/>
      <c s="2300"/>
      <c s="2300"/>
      <c s="2301"/>
      <c s="2299"/>
      <c s="2300"/>
      <c s="2300"/>
      <c s="2300"/>
      <c s="2300"/>
      <c s="2300"/>
      <c s="2300"/>
      <c s="2300"/>
      <c s="2300"/>
      <c s="2301"/>
      <c s="1388"/>
      <c r="AS6" s="503"/>
      <c s="503" t="str">
        <f>IF(V6="","",V6)</f>
        <v/>
      </c>
      <c s="503"/>
      <c s="503"/>
      <c s="1158">
        <v>0</v>
      </c>
    </row>
    <row r="7" spans="1:49" ht="21" customHeight="1" hidden="1">
      <c r="A7" s="1270"/>
      <c s="1270"/>
      <c s="1270"/>
      <c s="1270"/>
      <c s="2293"/>
      <c s="2293"/>
      <c s="2293"/>
      <c s="2293"/>
      <c s="2104"/>
      <c s="2130">
        <f>I6&amp;".1"</f>
      </c>
      <c s="1270"/>
      <c s="1270"/>
      <c s="1313" t="s">
        <v>406</v>
      </c>
      <c s="512"/>
      <c s="330"/>
      <c r="Q7" s="2260"/>
      <c s="2260">
        <v>1</v>
      </c>
      <c s="521"/>
      <c s="360"/>
      <c s="1339">
        <f>$J7</f>
      </c>
      <c s="289" t="s">
        <v>407</v>
      </c>
      <c s="303"/>
      <c s="2248"/>
      <c s="2249"/>
      <c s="2249"/>
      <c s="2249"/>
      <c s="2249"/>
      <c s="2238"/>
      <c s="2238"/>
      <c s="2238"/>
      <c s="2311"/>
      <c s="2248"/>
      <c s="2249"/>
      <c s="2249"/>
      <c s="2249"/>
      <c s="2249"/>
      <c s="2249"/>
      <c s="2249"/>
      <c s="2249"/>
      <c s="2249"/>
      <c s="2250"/>
      <c s="1261" t="s">
        <v>408</v>
      </c>
      <c r="AS7" s="503"/>
      <c s="503" t="str">
        <f>IF(V7="","",V7)</f>
        <v>Группа потребителей</v>
      </c>
      <c s="503"/>
      <c s="503"/>
      <c s="1158">
        <v>0</v>
      </c>
    </row>
    <row r="8" spans="1:49" ht="21" customHeight="1" hidden="1">
      <c r="A8" s="1270"/>
      <c s="1270"/>
      <c s="1270"/>
      <c s="1270"/>
      <c s="2293"/>
      <c s="2293"/>
      <c s="2293"/>
      <c s="2293"/>
      <c s="2104"/>
      <c s="2104"/>
      <c s="2130">
        <f>J7&amp;".1"</f>
      </c>
      <c s="142"/>
      <c s="1313" t="s">
        <v>409</v>
      </c>
      <c s="512"/>
      <c s="330"/>
      <c s="330"/>
      <c s="2260"/>
      <c s="2260"/>
      <c s="2260">
        <v>1</v>
      </c>
      <c s="360"/>
      <c s="1339">
        <f>$K8</f>
      </c>
      <c s="1350"/>
      <c s="303"/>
      <c s="754"/>
      <c s="754"/>
      <c s="754"/>
      <c s="754"/>
      <c s="1408"/>
      <c s="2268"/>
      <c s="2110" t="s">
        <v>65</v>
      </c>
      <c s="2268"/>
      <c s="2110" t="s">
        <v>65</v>
      </c>
      <c s="1410"/>
      <c s="754"/>
      <c s="754"/>
      <c s="754"/>
      <c s="1260"/>
      <c s="2268"/>
      <c s="2110" t="s">
        <v>65</v>
      </c>
      <c s="2268"/>
      <c s="2110" t="s">
        <v>65</v>
      </c>
      <c s="328"/>
      <c s="1310" t="s">
        <v>452</v>
      </c>
      <c s="514">
        <f>STRCHECKDATE(X10:AP10)</f>
      </c>
      <c s="503"/>
      <c s="503" t="str">
        <f>IF(V8="","",V8)</f>
        <v/>
      </c>
      <c s="503"/>
      <c s="503"/>
      <c s="1158">
        <v>0</v>
      </c>
    </row>
    <row r="9" spans="1:49" ht="21" customHeight="1" hidden="1">
      <c r="A9" s="1270"/>
      <c s="1270"/>
      <c s="1270"/>
      <c s="1270"/>
      <c s="2293"/>
      <c s="2293"/>
      <c s="2293"/>
      <c s="2293"/>
      <c s="2104"/>
      <c s="2104"/>
      <c s="2104"/>
      <c s="2130">
        <f>K8&amp;".1"</f>
      </c>
      <c s="1313"/>
      <c s="512"/>
      <c s="330"/>
      <c s="330"/>
      <c s="2260"/>
      <c s="2260"/>
      <c s="2260"/>
      <c s="360"/>
      <c s="1339">
        <f>$L9</f>
      </c>
      <c s="1394"/>
      <c s="303"/>
      <c s="328"/>
      <c s="754"/>
      <c s="754"/>
      <c s="754"/>
      <c s="1408"/>
      <c s="2312"/>
      <c s="2110"/>
      <c s="2312"/>
      <c s="2110"/>
      <c s="1410"/>
      <c s="754"/>
      <c s="754"/>
      <c s="754"/>
      <c s="1260"/>
      <c s="2312"/>
      <c s="2110"/>
      <c s="2312"/>
      <c s="2110"/>
      <c s="328"/>
      <c s="2256" t="s">
        <v>453</v>
      </c>
      <c r="AS9" s="503"/>
      <c s="503"/>
      <c s="503"/>
      <c s="503"/>
      <c s="1158">
        <v>0</v>
      </c>
    </row>
    <row r="10" spans="1:49" ht="14.25" customHeight="1" hidden="1">
      <c r="A10" s="1270"/>
      <c s="1270"/>
      <c s="1270"/>
      <c s="1270"/>
      <c s="2293"/>
      <c s="2293"/>
      <c s="2293"/>
      <c s="2293"/>
      <c s="2104"/>
      <c s="2104"/>
      <c s="2104"/>
      <c s="2130"/>
      <c s="1313"/>
      <c s="512"/>
      <c s="330"/>
      <c s="330"/>
      <c s="2260"/>
      <c s="2260"/>
      <c s="2260"/>
      <c s="360"/>
      <c s="1345"/>
      <c s="303"/>
      <c s="303"/>
      <c s="328"/>
      <c s="328"/>
      <c s="328"/>
      <c s="328"/>
      <c s="1409" t="str">
        <f>AC8&amp;"-"&amp;AE8</f>
        <v>-</v>
      </c>
      <c s="2312"/>
      <c s="2110"/>
      <c s="2312"/>
      <c s="2110"/>
      <c s="1385"/>
      <c s="328"/>
      <c s="328"/>
      <c s="328"/>
      <c s="331" t="str">
        <f>AL8&amp;"-"&amp;AN8</f>
        <v>-</v>
      </c>
      <c s="2312"/>
      <c s="2110"/>
      <c s="2312"/>
      <c s="2110"/>
      <c s="328"/>
      <c s="2257"/>
      <c r="AS10" s="503"/>
      <c s="503" t="str">
        <f>IF(V10="","",V10)</f>
        <v/>
      </c>
      <c s="503"/>
      <c s="503"/>
      <c s="1158">
        <v>0</v>
      </c>
    </row>
    <row r="11" spans="1:49" ht="11.25" customHeight="1" hidden="1">
      <c r="A11" s="1270"/>
      <c s="1270"/>
      <c s="1270"/>
      <c s="1270"/>
      <c s="2293"/>
      <c s="2293"/>
      <c s="2293"/>
      <c s="2293"/>
      <c s="2104"/>
      <c s="2104"/>
      <c s="2130"/>
      <c s="1270"/>
      <c s="1313"/>
      <c s="512"/>
      <c s="330"/>
      <c s="330"/>
      <c s="2260"/>
      <c s="2260"/>
      <c s="2260"/>
      <c s="360"/>
      <c s="1281"/>
      <c s="291" t="s">
        <v>454</v>
      </c>
      <c s="1395"/>
      <c s="1396"/>
      <c s="1396"/>
      <c s="1396"/>
      <c s="1396"/>
      <c s="1397"/>
      <c s="2312"/>
      <c s="2110"/>
      <c s="2312"/>
      <c s="2110"/>
      <c s="1396"/>
      <c s="1396"/>
      <c s="1396"/>
      <c s="1396"/>
      <c s="1397"/>
      <c s="2312"/>
      <c s="2110"/>
      <c s="2312"/>
      <c s="2110"/>
      <c s="1398"/>
      <c s="2257"/>
      <c r="AS11" s="503"/>
      <c s="503"/>
      <c s="503"/>
      <c s="503"/>
      <c s="1158">
        <v>0</v>
      </c>
    </row>
    <row r="12" spans="1:49" ht="15" customHeight="1" hidden="1">
      <c r="A12" s="1270"/>
      <c s="1270"/>
      <c s="1270"/>
      <c s="1270"/>
      <c s="2293"/>
      <c s="2293"/>
      <c s="2293"/>
      <c s="2293"/>
      <c s="2104"/>
      <c s="2130"/>
      <c s="1270"/>
      <c s="1270"/>
      <c s="1313"/>
      <c s="512"/>
      <c s="330"/>
      <c r="Q12" s="2260"/>
      <c s="2260"/>
      <c s="1334"/>
      <c s="359"/>
      <c s="1281"/>
      <c s="290" t="s">
        <v>411</v>
      </c>
      <c s="370"/>
      <c s="370"/>
      <c s="370"/>
      <c s="370"/>
      <c s="370"/>
      <c s="370"/>
      <c s="1411"/>
      <c s="1411"/>
      <c s="1411"/>
      <c s="1411"/>
      <c s="370"/>
      <c s="370"/>
      <c s="370"/>
      <c s="370"/>
      <c s="370"/>
      <c s="370"/>
      <c s="370"/>
      <c s="370"/>
      <c s="370"/>
      <c s="327"/>
      <c s="2258"/>
      <c r="AS12" s="503"/>
      <c s="503" t="str">
        <f>IF(V12="","",V12)</f>
        <v>Добавить вид теплоносителя (параметры теплоносителя)</v>
      </c>
      <c s="503"/>
      <c s="503"/>
      <c s="1158">
        <v>0</v>
      </c>
    </row>
    <row r="13" spans="1:49" ht="11.25" customHeight="1" hidden="1">
      <c r="A13" s="1270"/>
      <c s="1270"/>
      <c s="1270"/>
      <c s="1270"/>
      <c s="2293"/>
      <c s="2293"/>
      <c s="2293"/>
      <c s="2293"/>
      <c s="2130"/>
      <c s="1270"/>
      <c s="1270"/>
      <c s="1270"/>
      <c s="1313"/>
      <c s="512"/>
      <c r="Q13" s="2260"/>
      <c s="1334"/>
      <c s="1334"/>
      <c s="359"/>
      <c s="1281"/>
      <c s="368" t="s">
        <v>412</v>
      </c>
      <c s="370"/>
      <c s="370"/>
      <c s="370"/>
      <c s="370"/>
      <c s="370"/>
      <c s="370"/>
      <c s="370"/>
      <c s="370"/>
      <c s="370"/>
      <c s="369"/>
      <c s="370"/>
      <c s="370"/>
      <c s="370"/>
      <c s="370"/>
      <c s="370"/>
      <c s="370"/>
      <c s="370"/>
      <c s="370"/>
      <c s="369"/>
      <c s="370"/>
      <c s="306"/>
      <c r="AS13" s="503"/>
      <c s="503" t="str">
        <f>IF(V13="","",V13)</f>
        <v>Добавить группу потребителей</v>
      </c>
      <c s="503"/>
      <c s="503"/>
      <c s="1158">
        <v>0</v>
      </c>
    </row>
    <row r="14" spans="1:49" ht="14.25" customHeight="1" hidden="1">
      <c r="A14" s="1270"/>
      <c s="1270"/>
      <c s="1270"/>
      <c s="1270"/>
      <c s="2293"/>
      <c s="2293"/>
      <c s="2293"/>
      <c s="2292"/>
      <c s="1270"/>
      <c s="1270"/>
      <c s="1270"/>
      <c s="1270"/>
      <c s="1313"/>
      <c s="691"/>
      <c s="691"/>
      <c s="512"/>
      <c s="363"/>
      <c s="378"/>
      <c s="358"/>
      <c s="363"/>
      <c s="1389"/>
      <c s="1390"/>
      <c s="1391"/>
      <c s="1391"/>
      <c s="1391"/>
      <c s="1391"/>
      <c s="1391"/>
      <c s="1391"/>
      <c s="1391"/>
      <c s="1391"/>
      <c s="1391"/>
      <c s="1391"/>
      <c s="1391"/>
      <c s="1391"/>
      <c s="1391"/>
      <c s="1391"/>
      <c s="1391"/>
      <c s="1391"/>
      <c s="1391"/>
      <c s="1391"/>
      <c s="1391"/>
      <c s="1391"/>
      <c s="1392"/>
      <c r="AS14" s="503"/>
      <c s="503" t="str">
        <f>IF(V14="","",V14)</f>
        <v/>
      </c>
      <c s="503"/>
      <c s="503"/>
      <c s="1158">
        <v>0</v>
      </c>
    </row>
    <row r="15" spans="1:49" s="1645" customFormat="1" ht="14.25" customHeight="1" hidden="1">
      <c r="A15" s="1377"/>
      <c s="1377"/>
      <c s="1377"/>
      <c s="1377"/>
      <c s="2293"/>
      <c s="2293"/>
      <c s="2292"/>
      <c s="1377"/>
      <c s="1377"/>
      <c s="1377"/>
      <c s="1377"/>
      <c s="1377"/>
      <c s="1380"/>
      <c s="1381"/>
      <c s="1381"/>
      <c s="354"/>
      <c s="1319"/>
      <c s="1320"/>
      <c s="1319"/>
      <c s="1319"/>
      <c s="1321"/>
      <c s="1322" t="s">
        <v>414</v>
      </c>
      <c s="1323"/>
      <c s="1323"/>
      <c s="1323"/>
      <c s="1323"/>
      <c s="1323"/>
      <c s="1323"/>
      <c s="1323"/>
      <c s="1323"/>
      <c s="1323"/>
      <c s="1323"/>
      <c s="1323"/>
      <c s="1323"/>
      <c s="1323"/>
      <c s="1323"/>
      <c s="1323"/>
      <c s="1323"/>
      <c s="1323"/>
      <c s="1323"/>
      <c s="1323"/>
      <c s="1323"/>
      <c s="1323"/>
      <c r="AS15" s="792"/>
      <c s="792" t="str">
        <f>IF(V15="","",V15)</f>
        <v>Добавить источник для дифференциации</v>
      </c>
      <c s="792"/>
      <c s="792"/>
      <c s="521">
        <v>0</v>
      </c>
    </row>
    <row r="16" spans="1:49" s="1645" customFormat="1" ht="14.25" customHeight="1" hidden="1">
      <c r="A16" s="1377"/>
      <c s="1377"/>
      <c s="1377"/>
      <c s="1377"/>
      <c s="2293"/>
      <c s="2292"/>
      <c s="1377"/>
      <c s="1377"/>
      <c s="1377"/>
      <c s="1377"/>
      <c s="1377"/>
      <c s="1377"/>
      <c s="1380"/>
      <c s="1382"/>
      <c s="1382"/>
      <c s="354"/>
      <c s="1319"/>
      <c s="1320"/>
      <c s="1319"/>
      <c s="1319"/>
      <c s="1325"/>
      <c s="1326" t="s">
        <v>415</v>
      </c>
      <c s="1327"/>
      <c s="1327"/>
      <c s="1327"/>
      <c s="1327"/>
      <c s="1327"/>
      <c s="1327"/>
      <c s="1327"/>
      <c s="1327"/>
      <c s="1327"/>
      <c s="1327"/>
      <c s="1327"/>
      <c s="1327"/>
      <c s="1327"/>
      <c s="1327"/>
      <c s="1327"/>
      <c s="1327"/>
      <c s="1327"/>
      <c s="1327"/>
      <c s="1327"/>
      <c s="1327"/>
      <c s="1327"/>
      <c r="AS16" s="792"/>
      <c s="792" t="str">
        <f>IF(V16="","",V16)</f>
        <v>Добавить централизованную систему для дифференциации</v>
      </c>
      <c s="792"/>
      <c s="792"/>
      <c s="521">
        <v>0</v>
      </c>
    </row>
    <row r="17" spans="1:49" s="1645" customFormat="1" ht="14.25" customHeight="1" hidden="1">
      <c r="A17" s="1377"/>
      <c s="1377"/>
      <c s="1377"/>
      <c s="1377"/>
      <c s="2292"/>
      <c s="1377"/>
      <c s="1377"/>
      <c s="1377"/>
      <c s="1377"/>
      <c s="1377"/>
      <c s="1377"/>
      <c s="1377"/>
      <c s="1380"/>
      <c s="1382"/>
      <c s="1382"/>
      <c s="354"/>
      <c s="1319"/>
      <c s="1320"/>
      <c s="1319"/>
      <c s="1319"/>
      <c s="1325"/>
      <c s="1328" t="s">
        <v>416</v>
      </c>
      <c s="1327"/>
      <c s="1327"/>
      <c s="1327"/>
      <c s="1327"/>
      <c s="1327"/>
      <c s="1327"/>
      <c s="1327"/>
      <c s="1327"/>
      <c s="1327"/>
      <c s="1327"/>
      <c s="1327"/>
      <c s="1327"/>
      <c s="1327"/>
      <c s="1327"/>
      <c s="1327"/>
      <c s="1327"/>
      <c s="1327"/>
      <c s="1327"/>
      <c s="1327"/>
      <c s="1327"/>
      <c s="1327"/>
      <c r="AS17" s="792"/>
      <c s="792" t="str">
        <f>IF(V17="","",V17)</f>
        <v>Добавить территорию для дифференциации</v>
      </c>
      <c s="792"/>
      <c s="792"/>
      <c s="521">
        <v>0</v>
      </c>
    </row>
    <row r="18" spans="32:49" ht="14.25" customHeight="1" hidden="1">
      <c r="AF18" s="330"/>
      <c r="AO18" s="330"/>
      <c r="AW18" s="1158">
        <v>0</v>
      </c>
    </row>
    <row r="19" spans="33:49" ht="14.25" customHeight="1" hidden="1">
      <c r="AG19" s="1363"/>
      <c s="1363"/>
      <c s="1363"/>
      <c s="1363"/>
      <c s="1364"/>
      <c s="2270"/>
      <c s="2271" t="s">
        <v>65</v>
      </c>
      <c s="2270"/>
      <c s="2271" t="s">
        <v>65</v>
      </c>
      <c r="AW19" s="1158">
        <v>0</v>
      </c>
    </row>
    <row r="20" spans="33:49" ht="14.25" customHeight="1" hidden="1">
      <c r="AG20" s="1363"/>
      <c s="1363"/>
      <c s="1363"/>
      <c s="1363"/>
      <c s="1364"/>
      <c s="2270"/>
      <c s="2271"/>
      <c s="2270"/>
      <c s="2271"/>
      <c r="AW20" s="1158">
        <v>0</v>
      </c>
    </row>
    <row r="21" spans="33:49" ht="14.25" customHeight="1" hidden="1">
      <c r="AG21" s="1363"/>
      <c s="1363"/>
      <c s="1363"/>
      <c s="1363"/>
      <c s="1364"/>
      <c s="2270"/>
      <c s="2271"/>
      <c s="2270"/>
      <c s="2271"/>
      <c r="AW21" s="1158">
        <v>0</v>
      </c>
    </row>
    <row r="22" spans="33:49" ht="14.25" customHeight="1" hidden="1">
      <c r="AG22" s="1363"/>
      <c s="1363"/>
      <c s="1363"/>
      <c s="1363"/>
      <c s="331" t="str">
        <f>AL19&amp;"-"&amp;AN19</f>
        <v>-</v>
      </c>
      <c s="2271"/>
      <c s="2271"/>
      <c s="2271"/>
      <c s="2271"/>
      <c r="AW22" s="1158">
        <v>0</v>
      </c>
    </row>
    <row r="23" spans="41:49" ht="14.25" customHeight="1" hidden="1">
      <c r="AO23" s="330"/>
      <c r="AW23" s="1158">
        <v>0</v>
      </c>
    </row>
    <row r="24" spans="1:49" s="1369" customFormat="1" ht="22.5" customHeight="1" hidden="1">
      <c r="A24" s="1158"/>
      <c s="1158"/>
      <c s="1158"/>
      <c s="1158"/>
      <c s="1158"/>
      <c s="1158"/>
      <c s="1158"/>
      <c s="1158"/>
      <c s="1158"/>
      <c s="1158"/>
      <c s="1158"/>
      <c s="1158"/>
      <c s="1330"/>
      <c s="1331"/>
      <c s="1331"/>
      <c s="1348" t="s">
        <v>417</v>
      </c>
      <c s="1365"/>
      <c s="1374"/>
      <c s="1374"/>
      <c s="1374"/>
      <c s="732"/>
      <c r="AC24" s="1370"/>
      <c r="AE24" s="1370"/>
      <c s="1369"/>
      <c r="AL24" s="1370"/>
      <c r="AN24" s="1370"/>
      <c s="1369"/>
      <c r="AR24" s="514"/>
      <c s="514"/>
      <c s="514"/>
      <c s="514"/>
      <c s="514"/>
      <c s="1163">
        <v>0</v>
      </c>
    </row>
    <row r="25" spans="1:49" s="1369" customFormat="1" ht="14.25" customHeight="1" hidden="1">
      <c r="A25" s="1158"/>
      <c s="1158"/>
      <c s="1158"/>
      <c s="1158"/>
      <c s="1158"/>
      <c s="1158"/>
      <c s="1158"/>
      <c s="1158"/>
      <c s="1158"/>
      <c s="1158"/>
      <c s="1158"/>
      <c s="1158"/>
      <c s="1330"/>
      <c s="1331"/>
      <c s="1331"/>
      <c s="1331"/>
      <c s="1365"/>
      <c s="1374"/>
      <c s="1374"/>
      <c s="1374"/>
      <c s="732"/>
      <c r="AF25" s="1369"/>
      <c r="AO25" s="1369"/>
      <c r="AR25" s="514"/>
      <c s="514"/>
      <c s="514"/>
      <c s="514"/>
      <c s="514"/>
      <c s="1163">
        <v>0</v>
      </c>
    </row>
    <row r="26" spans="1:49" s="1369" customFormat="1" ht="14.25" customHeight="1" hidden="1">
      <c r="A26" s="1158"/>
      <c s="1158"/>
      <c s="1158"/>
      <c s="1158"/>
      <c s="1158"/>
      <c s="1158"/>
      <c s="1158"/>
      <c s="1158"/>
      <c s="1158"/>
      <c s="1158"/>
      <c s="1158"/>
      <c s="1158"/>
      <c s="1330"/>
      <c s="1331"/>
      <c s="1331"/>
      <c s="1313" t="s">
        <v>418</v>
      </c>
      <c s="1365"/>
      <c s="1374"/>
      <c s="1374"/>
      <c s="1374"/>
      <c s="732"/>
      <c s="1163" t="s">
        <v>419</v>
      </c>
      <c r="AD26" s="189" t="s">
        <v>420</v>
      </c>
      <c r="AF26" s="189" t="s">
        <v>421</v>
      </c>
      <c s="1163" t="s">
        <v>419</v>
      </c>
      <c r="AM26" s="189" t="s">
        <v>422</v>
      </c>
      <c r="AO26" s="189" t="s">
        <v>421</v>
      </c>
      <c r="AR26" s="514"/>
      <c s="514"/>
      <c s="514"/>
      <c s="514"/>
      <c s="514"/>
      <c s="1163">
        <v>0</v>
      </c>
    </row>
    <row r="27" spans="16:49" ht="14.25" customHeight="1" hidden="1">
      <c r="P27" s="1313"/>
      <c r="AW27" s="1158">
        <v>0</v>
      </c>
    </row>
    <row r="28" spans="16:49" ht="14.25" customHeight="1" hidden="1">
      <c r="P28" s="1313"/>
      <c r="AW28" s="1158">
        <v>0</v>
      </c>
    </row>
    <row r="29" spans="18:49" ht="14.7" customHeight="1">
      <c r="R29" s="379"/>
      <c s="379"/>
      <c s="379"/>
      <c s="1278"/>
      <c s="366"/>
      <c s="366"/>
      <c s="512"/>
      <c s="512"/>
      <c s="512"/>
      <c s="512"/>
      <c s="512"/>
      <c s="512"/>
      <c s="512"/>
      <c s="512"/>
      <c s="512"/>
      <c s="512"/>
      <c s="512"/>
      <c s="512"/>
      <c s="512"/>
      <c s="512"/>
      <c s="512"/>
      <c s="512"/>
      <c s="512"/>
      <c s="512"/>
      <c r="AW29" s="1158">
        <v>14</v>
      </c>
    </row>
    <row r="30" spans="18:49" ht="56.7" customHeight="1">
      <c r="R30" s="379"/>
      <c s="379"/>
      <c s="379"/>
      <c s="2251" t="str">
        <f>IF(TEMPLATE_GROUP="P",PT_P_FORM_HEAT_6_NAME_FORM,PT_R_FORM_HEAT_23_NAME_FORM)</f>
        <v>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v>
      </c>
      <c s="2251"/>
      <c s="2251"/>
      <c s="2251"/>
      <c s="2251"/>
      <c s="2251"/>
      <c s="2251"/>
      <c s="2251"/>
      <c s="2251"/>
      <c s="2251"/>
      <c s="2251"/>
      <c s="2251"/>
      <c s="2251"/>
      <c s="2251"/>
      <c s="2251"/>
      <c s="2251"/>
      <c s="2251"/>
      <c s="2251"/>
      <c s="2251"/>
      <c s="2251"/>
      <c s="1246"/>
      <c r="AW30" s="1158">
        <v>54</v>
      </c>
    </row>
    <row r="31" spans="18:49" ht="14.7" customHeight="1">
      <c r="R31" s="379"/>
      <c s="379"/>
      <c s="379"/>
      <c s="2252" t="str">
        <f>IF(org=0,"Не определено",org)</f>
        <v>ГУП КК "Кубаньводкомплекс"</v>
      </c>
      <c s="2252"/>
      <c s="2252"/>
      <c s="2252"/>
      <c s="2252"/>
      <c s="2252"/>
      <c s="2252"/>
      <c s="2252"/>
      <c s="2252"/>
      <c s="2252"/>
      <c s="2252"/>
      <c s="2252"/>
      <c s="2252"/>
      <c s="2252"/>
      <c s="2252"/>
      <c s="2252"/>
      <c s="2252"/>
      <c s="2252"/>
      <c s="2252"/>
      <c s="2252"/>
      <c s="1246"/>
      <c r="AW31" s="1158">
        <v>14</v>
      </c>
    </row>
    <row r="32" spans="18:49" ht="14.25" customHeight="1" hidden="1">
      <c r="R32" s="379"/>
      <c s="379"/>
      <c s="379"/>
      <c s="1278"/>
      <c s="366"/>
      <c s="366"/>
      <c s="325"/>
      <c s="325"/>
      <c s="325"/>
      <c s="325"/>
      <c s="325"/>
      <c s="325"/>
      <c s="325"/>
      <c s="325"/>
      <c s="325"/>
      <c s="325"/>
      <c s="325"/>
      <c s="325"/>
      <c s="325"/>
      <c s="325"/>
      <c s="325"/>
      <c s="325"/>
      <c s="325"/>
      <c s="325"/>
      <c s="512"/>
      <c r="AW32" s="1158">
        <v>0</v>
      </c>
    </row>
    <row r="33" spans="1:49" s="1856" customFormat="1" ht="25.5" customHeight="1" hidden="1">
      <c r="A33" s="1251"/>
      <c s="1251"/>
      <c s="1251"/>
      <c s="1251"/>
      <c s="1251"/>
      <c s="1251"/>
      <c s="1251"/>
      <c s="1251"/>
      <c s="1251"/>
      <c s="1251"/>
      <c s="1251"/>
      <c s="1251"/>
      <c s="1383"/>
      <c s="1251"/>
      <c s="1251"/>
      <c s="1251"/>
      <c r="U33" s="2253" t="s">
        <v>42</v>
      </c>
      <c s="2253"/>
      <c s="1375"/>
      <c s="2254" t="str">
        <f>IF(TITLE_NAME_OR_PR_CHANGE="",IF(TITLE_NAME_OR_PR="","",TITLE_NAME_OR_PR),TITLE_NAME_OR_PR_CHANGE)</f>
        <v/>
      </c>
      <c s="2254"/>
      <c s="2254"/>
      <c s="2254"/>
      <c s="2254"/>
      <c s="2254"/>
      <c s="2254"/>
      <c s="2254"/>
      <c s="329"/>
      <c s="2254" t="str">
        <f>IF(TITLE_NAME_OR_PR_CHANGE="",IF(TITLE_NAME_OR_PR="","",TITLE_NAME_OR_PR),TITLE_NAME_OR_PR_CHANGE)</f>
        <v/>
      </c>
      <c s="2254"/>
      <c s="2254"/>
      <c s="2254"/>
      <c s="2254"/>
      <c s="2254"/>
      <c s="2254"/>
      <c s="2254"/>
      <c s="329"/>
      <c s="329"/>
      <c s="283"/>
      <c s="371"/>
      <c s="371"/>
      <c s="371"/>
      <c s="371"/>
      <c s="371"/>
      <c s="421">
        <v>0</v>
      </c>
    </row>
    <row r="34" spans="1:49" s="1856" customFormat="1" ht="18.75" customHeight="1" hidden="1">
      <c r="A34" s="1251"/>
      <c s="1251"/>
      <c s="1251"/>
      <c s="1251"/>
      <c s="1251"/>
      <c s="1251"/>
      <c s="1251"/>
      <c s="1251"/>
      <c s="1251"/>
      <c s="1251"/>
      <c s="1251"/>
      <c s="1251"/>
      <c s="1383"/>
      <c s="1251"/>
      <c s="1251"/>
      <c s="1251"/>
      <c r="U34" s="2253" t="s">
        <v>423</v>
      </c>
      <c s="2253"/>
      <c s="1375"/>
      <c s="2267" t="str">
        <f>IF(TITLE_DATE_PR_CHANGE="",IF(TITLE_DATE_PR="","",TITLE_DATE_PR),TITLE_DATE_PR_CHANGE)</f>
        <v/>
      </c>
      <c s="2267"/>
      <c s="2267"/>
      <c s="2267"/>
      <c s="2267"/>
      <c s="2267"/>
      <c s="2267"/>
      <c s="2267"/>
      <c s="329"/>
      <c s="2267" t="str">
        <f>IF(TITLE_DATE_PR_CHANGE="",IF(TITLE_DATE_PR="","",TITLE_DATE_PR),TITLE_DATE_PR_CHANGE)</f>
        <v/>
      </c>
      <c s="2267"/>
      <c s="2267"/>
      <c s="2267"/>
      <c s="2267"/>
      <c s="2267"/>
      <c s="2267"/>
      <c s="2267"/>
      <c s="329"/>
      <c s="329"/>
      <c s="283"/>
      <c s="371"/>
      <c s="371"/>
      <c s="371"/>
      <c s="371"/>
      <c s="371"/>
      <c s="421">
        <v>0</v>
      </c>
    </row>
    <row r="35" spans="1:49" s="1856" customFormat="1" ht="18.75" customHeight="1" hidden="1">
      <c r="A35" s="1251"/>
      <c s="1251"/>
      <c s="1251"/>
      <c s="1251"/>
      <c s="1251"/>
      <c s="1251"/>
      <c s="1251"/>
      <c s="1251"/>
      <c s="1251"/>
      <c s="1251"/>
      <c s="1251"/>
      <c s="1251"/>
      <c s="1383"/>
      <c s="1251"/>
      <c s="1251"/>
      <c s="1251"/>
      <c r="U35" s="2253" t="s">
        <v>424</v>
      </c>
      <c s="2253"/>
      <c s="1375"/>
      <c s="2254" t="str">
        <f>IF(TITLE_NUMBER_PR_CHANGE="",IF(TITLE_NUMBER_PR="","",TITLE_NUMBER_PR),TITLE_NUMBER_PR_CHANGE)</f>
        <v/>
      </c>
      <c s="2254"/>
      <c s="2254"/>
      <c s="2254"/>
      <c s="2254"/>
      <c s="2254"/>
      <c s="2254"/>
      <c s="2254"/>
      <c s="329"/>
      <c s="2254" t="str">
        <f>IF(TITLE_NUMBER_PR_CHANGE="",IF(TITLE_NUMBER_PR="","",TITLE_NUMBER_PR),TITLE_NUMBER_PR_CHANGE)</f>
        <v/>
      </c>
      <c s="2254"/>
      <c s="2254"/>
      <c s="2254"/>
      <c s="2254"/>
      <c s="2254"/>
      <c s="2254"/>
      <c s="2254"/>
      <c s="329"/>
      <c s="329"/>
      <c s="283"/>
      <c s="371"/>
      <c s="371"/>
      <c s="371"/>
      <c s="371"/>
      <c s="371"/>
      <c s="421">
        <v>0</v>
      </c>
    </row>
    <row r="36" spans="1:49" s="1856" customFormat="1" ht="18.75" customHeight="1" hidden="1">
      <c r="A36" s="1251"/>
      <c s="1251"/>
      <c s="1251"/>
      <c s="1251"/>
      <c s="1251"/>
      <c s="1251"/>
      <c s="1251"/>
      <c s="1251"/>
      <c s="1251"/>
      <c s="1251"/>
      <c s="1251"/>
      <c s="1251"/>
      <c s="1383"/>
      <c s="1251"/>
      <c s="1251"/>
      <c s="1251"/>
      <c r="U36" s="2253" t="s">
        <v>43</v>
      </c>
      <c s="2253"/>
      <c s="1375"/>
      <c s="2254" t="str">
        <f>IF(TITLE_IST_PUB_CHANGE="",IF(TITLE_IST_PUB="","",TITLE_IST_PUB),TITLE_IST_PUB_CHANGE)</f>
        <v/>
      </c>
      <c s="2254"/>
      <c s="2254"/>
      <c s="2254"/>
      <c s="2254"/>
      <c s="2254"/>
      <c s="2254"/>
      <c s="2254"/>
      <c s="329"/>
      <c s="2254" t="str">
        <f>IF(TITLE_IST_PUB_CHANGE="",IF(TITLE_IST_PUB="","",TITLE_IST_PUB),TITLE_IST_PUB_CHANGE)</f>
        <v/>
      </c>
      <c s="2254"/>
      <c s="2254"/>
      <c s="2254"/>
      <c s="2254"/>
      <c s="2254"/>
      <c s="2254"/>
      <c s="2254"/>
      <c s="329"/>
      <c s="329"/>
      <c s="283"/>
      <c s="371"/>
      <c s="371"/>
      <c s="371"/>
      <c s="371"/>
      <c s="371"/>
      <c s="421">
        <v>0</v>
      </c>
    </row>
    <row r="37" spans="18:49" ht="14.25" customHeight="1" hidden="1">
      <c r="R37" s="379"/>
      <c s="379"/>
      <c s="379"/>
      <c s="1278"/>
      <c s="366"/>
      <c s="366"/>
      <c s="325"/>
      <c s="325"/>
      <c s="325"/>
      <c s="325"/>
      <c s="325"/>
      <c s="325"/>
      <c s="325"/>
      <c s="325"/>
      <c s="325"/>
      <c s="325"/>
      <c s="325"/>
      <c s="325"/>
      <c s="325"/>
      <c s="325"/>
      <c s="325"/>
      <c s="325"/>
      <c s="325"/>
      <c s="325"/>
      <c s="512"/>
      <c r="AW37" s="1158">
        <v>0</v>
      </c>
    </row>
    <row r="38" spans="1:49" s="1856" customFormat="1" ht="18.75" customHeight="1" hidden="1">
      <c r="A38" s="1251"/>
      <c s="1251"/>
      <c s="1251"/>
      <c s="1251"/>
      <c s="1251"/>
      <c s="1251"/>
      <c s="1251"/>
      <c s="1251"/>
      <c s="1251"/>
      <c s="1251"/>
      <c s="1251"/>
      <c s="1251"/>
      <c s="1383"/>
      <c s="1251"/>
      <c s="1251"/>
      <c s="1251"/>
      <c r="U38" s="2253" t="s">
        <v>425</v>
      </c>
      <c s="2253"/>
      <c s="1375"/>
      <c s="2267" t="str">
        <f>IF(TITLE_DATE_PR_CHANGE="",IF(TITLE_DATE_PR="","",TITLE_DATE_PR),TITLE_DATE_PR_CHANGE)</f>
        <v/>
      </c>
      <c s="2267"/>
      <c s="2267"/>
      <c s="2267"/>
      <c s="2267"/>
      <c s="2267"/>
      <c s="2267"/>
      <c s="2267"/>
      <c s="329"/>
      <c s="2267" t="str">
        <f>IF(TITLE_DATE_PR_CHANGE="",IF(TITLE_DATE_PR="","",TITLE_DATE_PR),TITLE_DATE_PR_CHANGE)</f>
        <v/>
      </c>
      <c s="2267"/>
      <c s="2267"/>
      <c s="2267"/>
      <c s="2267"/>
      <c s="2267"/>
      <c s="2267"/>
      <c s="2267"/>
      <c s="329"/>
      <c s="329"/>
      <c s="283"/>
      <c s="371"/>
      <c s="371"/>
      <c s="371"/>
      <c s="371"/>
      <c s="371"/>
      <c s="421">
        <v>0</v>
      </c>
    </row>
    <row r="39" spans="1:49" s="1856" customFormat="1" ht="18.75" customHeight="1" hidden="1">
      <c r="A39" s="1251"/>
      <c s="1251"/>
      <c s="1251"/>
      <c s="1251"/>
      <c s="1251"/>
      <c s="1251"/>
      <c s="1251"/>
      <c s="1251"/>
      <c s="1251"/>
      <c s="1251"/>
      <c s="1251"/>
      <c s="1251"/>
      <c s="1383"/>
      <c s="1251"/>
      <c s="1251"/>
      <c s="1251"/>
      <c r="U39" s="2253" t="s">
        <v>426</v>
      </c>
      <c s="2253"/>
      <c s="1375"/>
      <c s="2254" t="str">
        <f>IF(TITLE_NUMBER_PR_CHANGE="",IF(TITLE_NUMBER_PR="","",TITLE_NUMBER_PR),TITLE_NUMBER_PR_CHANGE)</f>
        <v/>
      </c>
      <c s="2254"/>
      <c s="2254"/>
      <c s="2254"/>
      <c s="2254"/>
      <c s="2254"/>
      <c s="2254"/>
      <c s="2254"/>
      <c s="329"/>
      <c s="2254" t="str">
        <f>IF(TITLE_NUMBER_PR_CHANGE="",IF(TITLE_NUMBER_PR="","",TITLE_NUMBER_PR),TITLE_NUMBER_PR_CHANGE)</f>
        <v/>
      </c>
      <c s="2254"/>
      <c s="2254"/>
      <c s="2254"/>
      <c s="2254"/>
      <c s="2254"/>
      <c s="2254"/>
      <c s="2254"/>
      <c s="329"/>
      <c s="329"/>
      <c s="283"/>
      <c s="371"/>
      <c s="371"/>
      <c s="371"/>
      <c s="371"/>
      <c s="371"/>
      <c s="421">
        <v>0</v>
      </c>
    </row>
    <row r="40" spans="1:49" s="1856" customFormat="1" ht="0" customHeight="1">
      <c r="A40" s="1251"/>
      <c s="1251"/>
      <c s="1251"/>
      <c s="1251"/>
      <c s="1251"/>
      <c s="1251"/>
      <c s="1251"/>
      <c s="1251"/>
      <c s="1251"/>
      <c s="1251"/>
      <c s="1251"/>
      <c s="1251"/>
      <c s="1383"/>
      <c s="1251"/>
      <c s="1251"/>
      <c s="1251"/>
      <c r="U40" s="326"/>
      <c s="326"/>
      <c s="1343"/>
      <c s="329"/>
      <c s="329"/>
      <c s="329"/>
      <c s="329"/>
      <c s="329"/>
      <c s="329"/>
      <c s="329"/>
      <c s="329"/>
      <c s="281" t="s">
        <v>427</v>
      </c>
      <c s="329"/>
      <c s="329"/>
      <c s="329"/>
      <c s="329"/>
      <c s="329"/>
      <c s="329"/>
      <c s="329"/>
      <c s="329"/>
      <c s="281" t="s">
        <v>427</v>
      </c>
      <c r="AR40" s="371"/>
      <c s="371"/>
      <c s="371"/>
      <c s="371"/>
      <c s="371"/>
      <c s="421">
        <v>0</v>
      </c>
    </row>
    <row r="41" spans="18:49" ht="14.7" customHeight="1">
      <c r="R41" s="379"/>
      <c s="379"/>
      <c s="379"/>
      <c s="1278"/>
      <c s="366"/>
      <c s="1247"/>
      <c s="2255"/>
      <c s="2255"/>
      <c s="2255"/>
      <c s="2255"/>
      <c s="2255"/>
      <c s="2255"/>
      <c s="2255"/>
      <c s="2255"/>
      <c s="2255"/>
      <c s="2255"/>
      <c s="2255"/>
      <c s="2255"/>
      <c s="2255"/>
      <c s="2255"/>
      <c s="2255"/>
      <c s="2255"/>
      <c s="2255"/>
      <c s="2255"/>
      <c r="AW41" s="1158">
        <v>14</v>
      </c>
    </row>
    <row r="42" spans="18:49" ht="14.7" customHeight="1">
      <c r="R42" s="379"/>
      <c s="379"/>
      <c s="379"/>
      <c s="2130" t="s">
        <v>300</v>
      </c>
      <c s="2130"/>
      <c s="2130"/>
      <c s="2130"/>
      <c s="2130"/>
      <c s="2130"/>
      <c s="2130"/>
      <c s="2130"/>
      <c s="2130"/>
      <c s="2130"/>
      <c s="2130"/>
      <c s="2130"/>
      <c s="2130"/>
      <c s="2130"/>
      <c s="2130"/>
      <c s="2130"/>
      <c s="2130"/>
      <c s="2130"/>
      <c s="2130"/>
      <c s="2130"/>
      <c s="2130"/>
      <c s="2130"/>
      <c s="2130" t="s">
        <v>301</v>
      </c>
      <c r="AW42" s="1158">
        <v>14</v>
      </c>
    </row>
    <row r="43" spans="18:49" ht="14.7" customHeight="1">
      <c r="R43" s="379"/>
      <c s="379"/>
      <c s="379"/>
      <c s="2276" t="s">
        <v>87</v>
      </c>
      <c s="2212" t="s">
        <v>428</v>
      </c>
      <c s="304"/>
      <c s="2277" t="s">
        <v>429</v>
      </c>
      <c s="2294"/>
      <c s="2294"/>
      <c s="2294"/>
      <c s="2294"/>
      <c s="2278"/>
      <c s="2278"/>
      <c s="2279"/>
      <c s="2280" t="s">
        <v>430</v>
      </c>
      <c s="2277" t="s">
        <v>429</v>
      </c>
      <c s="2294"/>
      <c s="2294"/>
      <c s="2294"/>
      <c s="2294"/>
      <c s="2278"/>
      <c s="2278"/>
      <c s="2279"/>
      <c s="2280" t="s">
        <v>431</v>
      </c>
      <c s="2283" t="s">
        <v>432</v>
      </c>
      <c s="2130"/>
      <c r="AW43" s="1158">
        <v>14</v>
      </c>
    </row>
    <row r="44" spans="18:49" ht="35.7" customHeight="1">
      <c r="R44" s="379"/>
      <c s="379"/>
      <c s="379"/>
      <c s="2276"/>
      <c s="2212"/>
      <c s="1034"/>
      <c s="2297" t="s">
        <v>455</v>
      </c>
      <c s="2315" t="s">
        <v>456</v>
      </c>
      <c s="2315"/>
      <c s="2315"/>
      <c s="2315"/>
      <c s="2297" t="s">
        <v>436</v>
      </c>
      <c s="2614"/>
      <c s="2317"/>
      <c s="2281"/>
      <c s="2297" t="s">
        <v>455</v>
      </c>
      <c s="2315" t="s">
        <v>456</v>
      </c>
      <c s="2315"/>
      <c s="2315"/>
      <c s="2315"/>
      <c s="2297" t="s">
        <v>436</v>
      </c>
      <c s="2614"/>
      <c s="2317"/>
      <c s="2281"/>
      <c s="2284"/>
      <c s="2130"/>
      <c r="AW44" s="1158">
        <v>34</v>
      </c>
    </row>
    <row r="45" spans="18:49" ht="14.7" customHeight="1">
      <c r="R45" s="379"/>
      <c s="379"/>
      <c s="379"/>
      <c s="2276"/>
      <c s="2212"/>
      <c s="1034"/>
      <c s="2328"/>
      <c s="2320" t="s">
        <v>457</v>
      </c>
      <c s="2273" t="s">
        <v>458</v>
      </c>
      <c s="2323"/>
      <c s="2274"/>
      <c s="2298"/>
      <c s="2615"/>
      <c s="2319"/>
      <c s="2281"/>
      <c s="2328"/>
      <c s="2320" t="s">
        <v>457</v>
      </c>
      <c s="2273" t="s">
        <v>458</v>
      </c>
      <c s="2323"/>
      <c s="2274"/>
      <c s="2298"/>
      <c s="2615"/>
      <c s="2319"/>
      <c s="2281"/>
      <c s="2284"/>
      <c s="2130"/>
      <c r="AW45" s="1158">
        <v>14</v>
      </c>
    </row>
    <row r="46" spans="18:49" ht="27.3" customHeight="1">
      <c r="R46" s="379"/>
      <c s="379"/>
      <c s="379"/>
      <c s="2276"/>
      <c s="2212"/>
      <c s="1034"/>
      <c s="2328"/>
      <c s="2321"/>
      <c s="2320" t="s">
        <v>459</v>
      </c>
      <c s="2273" t="s">
        <v>460</v>
      </c>
      <c s="2274"/>
      <c s="2320" t="s">
        <v>446</v>
      </c>
      <c s="2324" t="s">
        <v>447</v>
      </c>
      <c s="2325"/>
      <c s="2281"/>
      <c s="2328"/>
      <c s="2321"/>
      <c s="2320" t="s">
        <v>459</v>
      </c>
      <c s="2273" t="s">
        <v>460</v>
      </c>
      <c s="2274"/>
      <c s="2320" t="s">
        <v>446</v>
      </c>
      <c s="2324" t="s">
        <v>447</v>
      </c>
      <c s="2325"/>
      <c s="2281"/>
      <c s="2284"/>
      <c s="2130"/>
      <c r="AW46" s="1158">
        <v>26</v>
      </c>
    </row>
    <row r="47" spans="1:49" ht="65.25" customHeight="1">
      <c r="A47" s="1262"/>
      <c s="1262" t="s">
        <v>137</v>
      </c>
      <c s="1262" t="s">
        <v>138</v>
      </c>
      <c s="1262" t="s">
        <v>139</v>
      </c>
      <c s="1313" t="s">
        <v>437</v>
      </c>
      <c s="1313" t="s">
        <v>438</v>
      </c>
      <c s="1313" t="s">
        <v>439</v>
      </c>
      <c s="1313" t="s">
        <v>440</v>
      </c>
      <c s="1313" t="s">
        <v>441</v>
      </c>
      <c s="1313" t="s">
        <v>442</v>
      </c>
      <c s="1313" t="s">
        <v>443</v>
      </c>
      <c s="1313" t="s">
        <v>461</v>
      </c>
      <c s="1313" t="s">
        <v>418</v>
      </c>
      <c r="R47" s="379"/>
      <c s="379"/>
      <c s="379"/>
      <c s="2276"/>
      <c s="2212"/>
      <c s="305"/>
      <c s="2298"/>
      <c s="2322"/>
      <c s="2322"/>
      <c s="1225" t="s">
        <v>462</v>
      </c>
      <c s="1225" t="s">
        <v>463</v>
      </c>
      <c s="2322"/>
      <c s="2326"/>
      <c s="2327"/>
      <c s="2282"/>
      <c s="2298"/>
      <c s="2322"/>
      <c s="2322"/>
      <c s="1225" t="s">
        <v>462</v>
      </c>
      <c s="1225" t="s">
        <v>463</v>
      </c>
      <c s="2322"/>
      <c s="2326"/>
      <c s="2327"/>
      <c s="2282"/>
      <c s="2285"/>
      <c s="2130"/>
      <c r="AW47" s="1158">
        <v>62</v>
      </c>
    </row>
    <row r="48" spans="1:49" s="1644" customFormat="1" ht="11.25" customHeight="1" hidden="1">
      <c r="A48" s="1262"/>
      <c s="1262"/>
      <c s="1262"/>
      <c s="1262"/>
      <c s="1262"/>
      <c s="1262"/>
      <c s="1262"/>
      <c s="1262"/>
      <c s="1262"/>
      <c s="1262"/>
      <c s="1262"/>
      <c s="1262"/>
      <c s="1313"/>
      <c s="1331"/>
      <c s="1331"/>
      <c s="1331"/>
      <c s="1249"/>
      <c s="1250"/>
      <c s="1257">
        <v>1</v>
      </c>
      <c s="1257"/>
      <c s="1280" t="s">
        <v>109</v>
      </c>
      <c s="1258" t="s">
        <v>110</v>
      </c>
      <c s="1248" t="str">
        <f ca="1">OFFSET(W48,0,-1)</f>
        <v>2</v>
      </c>
      <c s="1338">
        <f ca="1">OFFSET(X48,0,-1)+1</f>
        <v>3</v>
      </c>
      <c s="1344"/>
      <c s="1344"/>
      <c s="1344">
        <f ca="1">OFFSET(AA48,0,-1)+1</f>
        <v>1</v>
      </c>
      <c s="1344">
        <f ca="1">OFFSET(AB48,0,-1)+1</f>
        <v>2</v>
      </c>
      <c s="1338">
        <f ca="1">OFFSET(AC48,0,-1)+1</f>
        <v>3</v>
      </c>
      <c s="2275">
        <f ca="1">OFFSET(AD48,0,-1)+1</f>
        <v>4</v>
      </c>
      <c s="2275"/>
      <c s="1338">
        <f ca="1">OFFSET(AF48,0,-2)+1</f>
        <v>5</v>
      </c>
      <c s="1338">
        <f ca="1">OFFSET(AG48,0,-1)+1</f>
        <v>6</v>
      </c>
      <c s="1338"/>
      <c s="1338"/>
      <c s="1338">
        <f ca="1">OFFSET(AJ48,0,-1)+1</f>
        <v>1</v>
      </c>
      <c s="1338">
        <f ca="1">OFFSET(AK48,0,-1)+1</f>
        <v>2</v>
      </c>
      <c s="1338">
        <f ca="1">OFFSET(AL48,0,-1)+1</f>
        <v>3</v>
      </c>
      <c s="2275">
        <f ca="1">OFFSET(AM48,0,-1)+1</f>
        <v>4</v>
      </c>
      <c s="2275"/>
      <c s="1338">
        <f ca="1">OFFSET(AO48,0,-2)+1</f>
        <v>5</v>
      </c>
      <c s="1248">
        <f ca="1">OFFSET(AP48,0,-1)</f>
        <v>5</v>
      </c>
      <c s="1338">
        <f ca="1">OFFSET(AQ48,0,-1)+1</f>
        <v>6</v>
      </c>
      <c s="514"/>
      <c s="514"/>
      <c s="514"/>
      <c s="514"/>
      <c s="514"/>
      <c s="499">
        <v>0</v>
      </c>
    </row>
    <row r="49" spans="1:49" ht="22.05" customHeight="1">
      <c r="A49" s="1270" t="s">
        <v>176</v>
      </c>
      <c s="1270"/>
      <c s="1270"/>
      <c s="1270"/>
      <c s="2292">
        <v>1</v>
      </c>
      <c s="1270"/>
      <c s="1270"/>
      <c s="1270"/>
      <c s="1270"/>
      <c s="1270"/>
      <c s="1270"/>
      <c s="1270"/>
      <c s="1313"/>
      <c s="691"/>
      <c s="691"/>
      <c s="691"/>
      <c s="364"/>
      <c s="363"/>
      <c s="363"/>
      <c s="358"/>
      <c s="1339">
        <f>INDEX(PT_DIFFERENTIATION_NUM_NTAR,MATCH(A49,PT_DIFFERENTIATION_NTAR_ID,0))</f>
        <v>0</v>
      </c>
      <c s="301" t="s">
        <v>125</v>
      </c>
      <c s="303"/>
      <c s="2245"/>
      <c s="2246"/>
      <c s="2246"/>
      <c s="2246"/>
      <c s="2246"/>
      <c s="2246"/>
      <c s="2246"/>
      <c s="2246"/>
      <c s="2247"/>
      <c s="2245" t="str">
        <f>INDEX(PT_DIFFERENTIATION_NTAR,MATCH(A49,PT_DIFFERENTIATION_NTAR_ID,0))</f>
        <v/>
      </c>
      <c s="2246"/>
      <c s="2246"/>
      <c s="2246"/>
      <c s="2246"/>
      <c s="2246"/>
      <c s="2246"/>
      <c s="2246"/>
      <c s="2246"/>
      <c s="2247"/>
      <c s="1261"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реквизиты"&amp;" (дата и номер) решения об установлении цены (тарифа), источник официального опубликования решения об установлении цены (тарифа) в сфере теплоснабжения.","В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теплоснабжения"&amp;" (горячего водоснабжения), установленных в виде формулы двухкомпонентного тарифа "&amp;"с использованием компонента на теплоноситель и компонента на тепловую энергию, в том числе о числовых значениях компонентов указанного тарифа. "&amp;"В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"&amp;"Федерального закона от 27 июля 2010 г.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 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S49" s="503"/>
      <c s="503" t="str">
        <f>IF(V49="","",V49)</f>
        <v>Наименование тарифа</v>
      </c>
      <c s="503"/>
      <c s="503"/>
      <c s="1158">
        <v>21</v>
      </c>
    </row>
    <row r="50" spans="1:49" ht="22.05" customHeight="1">
      <c r="A50" s="1270" t="s">
        <v>176</v>
      </c>
      <c s="1270" t="s">
        <v>177</v>
      </c>
      <c s="1270"/>
      <c s="1270"/>
      <c s="2293"/>
      <c s="2292">
        <v>1</v>
      </c>
      <c s="1270"/>
      <c s="1270"/>
      <c s="1270"/>
      <c s="1270"/>
      <c s="1270"/>
      <c s="1270"/>
      <c s="1313"/>
      <c s="691"/>
      <c s="691"/>
      <c s="691"/>
      <c s="1335"/>
      <c s="355"/>
      <c s="512"/>
      <c s="356"/>
      <c s="1339" t="str">
        <f>INDEX(PT_DIFFERENTIATION_NUM_TER,MATCH(B50,PT_DIFFERENTIATION_TER_ID,0))</f>
        <v>.</v>
      </c>
      <c s="311" t="s">
        <v>397</v>
      </c>
      <c s="303"/>
      <c s="2245"/>
      <c s="2246"/>
      <c s="2246"/>
      <c s="2246"/>
      <c s="2246"/>
      <c s="2246"/>
      <c s="2246"/>
      <c s="2246"/>
      <c s="2247"/>
      <c s="2245" t="str">
        <f>INDEX(PT_DIFFERENTIATION_TER,MATCH(B50,PT_DIFFERENTIATION_TER_ID,0))</f>
        <v/>
      </c>
      <c s="2246"/>
      <c s="2246"/>
      <c s="2246"/>
      <c s="2246"/>
      <c s="2246"/>
      <c s="2246"/>
      <c s="2246"/>
      <c s="2246"/>
      <c s="2247"/>
      <c s="1261" t="s">
        <v>398</v>
      </c>
      <c r="AS50" s="503"/>
      <c s="503" t="str">
        <f>IF(V50="","",V50)</f>
        <v>Территория действия тарифа</v>
      </c>
      <c s="503"/>
      <c s="503"/>
      <c s="1158">
        <v>21</v>
      </c>
    </row>
    <row r="51" spans="1:49" ht="24" customHeight="1">
      <c r="A51" s="1270" t="s">
        <v>176</v>
      </c>
      <c s="1270" t="s">
        <v>177</v>
      </c>
      <c s="1270" t="s">
        <v>178</v>
      </c>
      <c s="1270"/>
      <c s="2293"/>
      <c s="2293"/>
      <c s="2292">
        <v>1</v>
      </c>
      <c s="1270"/>
      <c s="1270"/>
      <c s="1270"/>
      <c s="1270"/>
      <c s="1270"/>
      <c s="1313"/>
      <c s="691"/>
      <c s="691"/>
      <c s="691"/>
      <c s="357"/>
      <c s="355"/>
      <c s="512"/>
      <c s="356"/>
      <c s="1339" t="str">
        <f>INDEX(PT_DIFFERENTIATION_NUM_CS,MATCH(C51,PT_DIFFERENTIATION_CS_ID,0))</f>
        <v>..</v>
      </c>
      <c s="312" t="s">
        <v>399</v>
      </c>
      <c s="303"/>
      <c s="2245"/>
      <c s="2246"/>
      <c s="2246"/>
      <c s="2246"/>
      <c s="2246"/>
      <c s="2246"/>
      <c s="2246"/>
      <c s="2246"/>
      <c s="2247"/>
      <c s="2245" t="str">
        <f>INDEX(PT_DIFFERENTIATION_CS,MATCH(C51,PT_DIFFERENTIATION_CS_ID,0))</f>
        <v/>
      </c>
      <c s="2246"/>
      <c s="2246"/>
      <c s="2246"/>
      <c s="2246"/>
      <c s="2246"/>
      <c s="2246"/>
      <c s="2246"/>
      <c s="2246"/>
      <c s="2247"/>
      <c s="1261" t="s">
        <v>400</v>
      </c>
      <c r="AS51" s="503"/>
      <c s="503" t="str">
        <f>IF(V51="","",V51)</f>
        <v>Наименование системы теплоснабжения</v>
      </c>
      <c s="503"/>
      <c s="503"/>
      <c s="1158">
        <v>23</v>
      </c>
    </row>
    <row r="52" spans="1:49" ht="22.05" customHeight="1">
      <c r="A52" s="1270" t="s">
        <v>176</v>
      </c>
      <c s="1270" t="s">
        <v>177</v>
      </c>
      <c s="1270" t="s">
        <v>178</v>
      </c>
      <c s="1270" t="s">
        <v>179</v>
      </c>
      <c s="2293"/>
      <c s="2293"/>
      <c s="2293"/>
      <c s="2313">
        <v>1</v>
      </c>
      <c s="1270"/>
      <c s="1270"/>
      <c s="1270"/>
      <c s="1270"/>
      <c s="1313"/>
      <c s="691"/>
      <c s="691"/>
      <c s="691"/>
      <c s="357"/>
      <c s="355"/>
      <c s="512"/>
      <c s="356"/>
      <c s="1339" t="str">
        <f>INDEX(PT_DIFFERENTIATION_NUM_IST_TE,MATCH(D52,PT_DIFFERENTIATION_IST_TE_ID,0))</f>
        <v>...</v>
      </c>
      <c s="313" t="s">
        <v>401</v>
      </c>
      <c s="303"/>
      <c s="2245"/>
      <c s="2246"/>
      <c s="2246"/>
      <c s="2246"/>
      <c s="2246"/>
      <c s="2246"/>
      <c s="2246"/>
      <c s="2246"/>
      <c s="2247"/>
      <c s="2245" t="str">
        <f>INDEX(PT_DIFFERENTIATION_IST_TE,MATCH(D52,PT_DIFFERENTIATION_IST_TE_ID,0))</f>
        <v/>
      </c>
      <c s="2246"/>
      <c s="2246"/>
      <c s="2246"/>
      <c s="2246"/>
      <c s="2246"/>
      <c s="2246"/>
      <c s="2246"/>
      <c s="2246"/>
      <c s="2247"/>
      <c s="1261" t="s">
        <v>402</v>
      </c>
      <c r="AS52" s="503"/>
      <c s="503" t="str">
        <f>IF(V52="","",V52)</f>
        <v>Источник тепловой энергии</v>
      </c>
      <c s="503"/>
      <c s="503"/>
      <c s="1158">
        <v>21</v>
      </c>
    </row>
    <row r="53" spans="1:49" s="1645" customFormat="1" ht="0" customHeight="1">
      <c r="A53" s="1378" t="s">
        <v>176</v>
      </c>
      <c s="1378" t="s">
        <v>177</v>
      </c>
      <c s="1378" t="s">
        <v>178</v>
      </c>
      <c s="1378" t="s">
        <v>179</v>
      </c>
      <c s="2293"/>
      <c s="2293"/>
      <c s="2293"/>
      <c s="2314"/>
      <c s="2130" t="str">
        <f>U52&amp;".1"</f>
        <v>....1</v>
      </c>
      <c s="1378"/>
      <c s="1378"/>
      <c s="1378"/>
      <c s="1384" t="s">
        <v>403</v>
      </c>
      <c s="1249"/>
      <c s="1249"/>
      <c s="1249"/>
      <c s="2260">
        <v>1</v>
      </c>
      <c s="1334"/>
      <c s="1334"/>
      <c s="359"/>
      <c s="1045"/>
      <c s="1386"/>
      <c s="1387"/>
      <c s="2299"/>
      <c s="2300"/>
      <c s="2300"/>
      <c s="2300"/>
      <c s="2300"/>
      <c s="2300"/>
      <c s="2300"/>
      <c s="2300"/>
      <c s="2301"/>
      <c s="2299"/>
      <c s="2300"/>
      <c s="2300"/>
      <c s="2300"/>
      <c s="2300"/>
      <c s="2300"/>
      <c s="2300"/>
      <c s="2300"/>
      <c s="2300"/>
      <c s="2301"/>
      <c s="1388"/>
      <c r="AS53" s="503"/>
      <c s="503" t="str">
        <f>IF(V53="","",V53)</f>
        <v/>
      </c>
      <c s="503"/>
      <c s="503"/>
      <c s="514">
        <v>0</v>
      </c>
    </row>
    <row r="54" spans="1:49" ht="22.05" customHeight="1">
      <c r="A54" s="1270" t="s">
        <v>176</v>
      </c>
      <c s="1270" t="s">
        <v>177</v>
      </c>
      <c s="1270" t="s">
        <v>178</v>
      </c>
      <c s="1270" t="s">
        <v>179</v>
      </c>
      <c s="2293"/>
      <c s="2293"/>
      <c s="2293"/>
      <c s="2314"/>
      <c s="2104"/>
      <c s="2130" t="str">
        <f>I53&amp;".1"</f>
        <v>....1.1</v>
      </c>
      <c s="1270"/>
      <c s="1270"/>
      <c s="1313" t="s">
        <v>406</v>
      </c>
      <c r="Q54" s="2260"/>
      <c s="2260">
        <v>1</v>
      </c>
      <c s="521"/>
      <c s="360"/>
      <c s="1339" t="str">
        <f>$J54</f>
        <v>....1.1</v>
      </c>
      <c s="289" t="s">
        <v>407</v>
      </c>
      <c s="303"/>
      <c s="2248"/>
      <c s="2249"/>
      <c s="2249"/>
      <c s="2249"/>
      <c s="2249"/>
      <c s="2238"/>
      <c s="2238"/>
      <c s="2238"/>
      <c s="2311"/>
      <c s="2248"/>
      <c s="2249"/>
      <c s="2249"/>
      <c s="2249"/>
      <c s="2249"/>
      <c s="2249"/>
      <c s="2249"/>
      <c s="2249"/>
      <c s="2249"/>
      <c s="2250"/>
      <c s="1261" t="s">
        <v>408</v>
      </c>
      <c r="AS54" s="503"/>
      <c s="503" t="str">
        <f>IF(V54="","",V54)</f>
        <v>Группа потребителей</v>
      </c>
      <c s="503"/>
      <c s="503"/>
      <c s="1158">
        <v>21</v>
      </c>
    </row>
    <row r="55" spans="1:49" ht="22.05" customHeight="1">
      <c r="A55" s="1270" t="s">
        <v>176</v>
      </c>
      <c s="1270" t="s">
        <v>177</v>
      </c>
      <c s="1270" t="s">
        <v>178</v>
      </c>
      <c s="1270" t="s">
        <v>179</v>
      </c>
      <c s="2293"/>
      <c s="2293"/>
      <c s="2293"/>
      <c s="2314"/>
      <c s="2104"/>
      <c s="2104"/>
      <c s="2130" t="str">
        <f>J54&amp;".1"</f>
        <v>....1.1.1</v>
      </c>
      <c s="142"/>
      <c s="1313" t="s">
        <v>409</v>
      </c>
      <c r="Q55" s="2260"/>
      <c s="2260"/>
      <c s="521">
        <v>1</v>
      </c>
      <c s="360"/>
      <c s="1339" t="str">
        <f>$K55</f>
        <v>....1.1.1</v>
      </c>
      <c s="1350"/>
      <c s="303"/>
      <c s="754"/>
      <c s="754"/>
      <c s="754"/>
      <c s="754"/>
      <c s="1408"/>
      <c s="2268"/>
      <c s="2110" t="s">
        <v>65</v>
      </c>
      <c s="2268"/>
      <c s="2110" t="s">
        <v>65</v>
      </c>
      <c s="1410"/>
      <c s="754"/>
      <c s="754"/>
      <c s="754"/>
      <c s="1260"/>
      <c s="2268"/>
      <c s="2110" t="s">
        <v>65</v>
      </c>
      <c s="2268"/>
      <c s="2110" t="s">
        <v>65</v>
      </c>
      <c s="1351"/>
      <c s="1310" t="s">
        <v>452</v>
      </c>
      <c s="514">
        <f>STRCHECKDATE(X57:AP57)</f>
      </c>
      <c s="503"/>
      <c s="503" t="str">
        <f>IF(V55="","",V55)</f>
        <v/>
      </c>
      <c s="503"/>
      <c s="503"/>
      <c s="1158">
        <v>21</v>
      </c>
    </row>
    <row r="56" spans="1:49" ht="11.55" customHeight="1">
      <c r="A56" s="1270" t="s">
        <v>176</v>
      </c>
      <c s="1270" t="s">
        <v>177</v>
      </c>
      <c s="1270" t="s">
        <v>178</v>
      </c>
      <c s="1270" t="s">
        <v>179</v>
      </c>
      <c s="2293"/>
      <c s="2293"/>
      <c s="2293"/>
      <c s="2314"/>
      <c s="2104"/>
      <c s="2104"/>
      <c s="2104"/>
      <c s="2130" t="str">
        <f>K55&amp;".1"</f>
        <v>....1.1.1.1</v>
      </c>
      <c s="1313"/>
      <c r="Q56" s="2260"/>
      <c s="2260"/>
      <c s="521">
        <v>1</v>
      </c>
      <c s="360"/>
      <c s="1339" t="str">
        <f>$L56</f>
        <v>....1.1.1.1</v>
      </c>
      <c s="1394"/>
      <c s="303"/>
      <c s="328"/>
      <c s="754"/>
      <c s="754"/>
      <c s="754"/>
      <c s="1408"/>
      <c s="2312"/>
      <c s="2110"/>
      <c s="2312"/>
      <c s="2110"/>
      <c s="1410"/>
      <c s="754"/>
      <c s="754"/>
      <c s="754"/>
      <c s="1260"/>
      <c s="2312"/>
      <c s="2110"/>
      <c s="2312"/>
      <c s="2110"/>
      <c s="1351"/>
      <c s="2256" t="s">
        <v>453</v>
      </c>
      <c s="514">
        <f>STRCHECKDATE(X58:AP58)</f>
      </c>
      <c s="503"/>
      <c s="503" t="str">
        <f>IF(V56="","",V56)</f>
        <v/>
      </c>
      <c s="503"/>
      <c s="503"/>
      <c s="1158">
        <v>11</v>
      </c>
    </row>
    <row r="57" spans="1:49" ht="0" customHeight="1">
      <c r="A57" s="1270" t="s">
        <v>176</v>
      </c>
      <c s="1270" t="s">
        <v>177</v>
      </c>
      <c s="1270" t="s">
        <v>178</v>
      </c>
      <c s="1270" t="s">
        <v>179</v>
      </c>
      <c s="2293"/>
      <c s="2293"/>
      <c s="2293"/>
      <c s="2314"/>
      <c s="2104"/>
      <c s="2104"/>
      <c s="2104"/>
      <c s="2130"/>
      <c s="1313"/>
      <c r="Q57" s="2260"/>
      <c s="2260"/>
      <c s="521"/>
      <c s="360"/>
      <c s="1345"/>
      <c s="303"/>
      <c s="303"/>
      <c s="328"/>
      <c s="328"/>
      <c s="328"/>
      <c s="328"/>
      <c s="1409" t="str">
        <f>AC55&amp;"-"&amp;AE55</f>
        <v>-</v>
      </c>
      <c s="2312"/>
      <c s="2110"/>
      <c s="2312"/>
      <c s="2110"/>
      <c s="1385"/>
      <c s="328"/>
      <c s="328"/>
      <c s="328"/>
      <c s="331" t="str">
        <f>AL55&amp;"-"&amp;AN55</f>
        <v>-</v>
      </c>
      <c s="2312"/>
      <c s="2110"/>
      <c s="2312"/>
      <c s="2110"/>
      <c s="1352"/>
      <c s="2257"/>
      <c r="AS57" s="503"/>
      <c s="503" t="str">
        <f>IF(V57="","",V57)</f>
        <v/>
      </c>
      <c s="503"/>
      <c s="503"/>
      <c s="1158">
        <v>0</v>
      </c>
    </row>
    <row r="58" spans="1:49" ht="11.55" customHeight="1">
      <c r="A58" s="1270" t="s">
        <v>176</v>
      </c>
      <c s="1270" t="s">
        <v>177</v>
      </c>
      <c s="1270" t="s">
        <v>178</v>
      </c>
      <c s="1270" t="s">
        <v>179</v>
      </c>
      <c s="2293"/>
      <c s="2293"/>
      <c s="2293"/>
      <c s="2314"/>
      <c s="2104"/>
      <c s="2104"/>
      <c s="2130"/>
      <c s="1270"/>
      <c s="1313"/>
      <c r="Q58" s="2260"/>
      <c s="2260"/>
      <c s="1334"/>
      <c s="359"/>
      <c s="1281"/>
      <c s="291" t="s">
        <v>454</v>
      </c>
      <c s="370"/>
      <c s="370"/>
      <c s="370"/>
      <c s="370"/>
      <c s="370"/>
      <c s="370"/>
      <c s="2312"/>
      <c s="2110"/>
      <c s="2312"/>
      <c s="2110"/>
      <c s="370"/>
      <c s="370"/>
      <c s="370"/>
      <c s="370"/>
      <c s="370"/>
      <c s="2312"/>
      <c s="2110"/>
      <c s="2312"/>
      <c s="2110"/>
      <c s="327"/>
      <c s="2257"/>
      <c r="AS58" s="503"/>
      <c s="503" t="str">
        <f>IF(V58="","",V58)</f>
        <v>Добавить наименование поставщика</v>
      </c>
      <c s="503"/>
      <c s="503"/>
      <c s="1158">
        <v>11</v>
      </c>
    </row>
    <row r="59" spans="1:49" ht="11.55" customHeight="1">
      <c r="A59" s="1270" t="s">
        <v>176</v>
      </c>
      <c s="1270" t="s">
        <v>177</v>
      </c>
      <c s="1270" t="s">
        <v>178</v>
      </c>
      <c s="1270" t="s">
        <v>179</v>
      </c>
      <c s="2293"/>
      <c s="2293"/>
      <c s="2293"/>
      <c s="2314"/>
      <c s="2104"/>
      <c s="2130"/>
      <c s="1270"/>
      <c s="1270"/>
      <c s="1313"/>
      <c r="Q59" s="2260"/>
      <c s="2260"/>
      <c s="1334"/>
      <c s="359"/>
      <c s="1281"/>
      <c s="290" t="s">
        <v>411</v>
      </c>
      <c s="370"/>
      <c s="370"/>
      <c s="370"/>
      <c s="370"/>
      <c s="370"/>
      <c s="370"/>
      <c s="1411"/>
      <c s="1411"/>
      <c s="1411"/>
      <c s="1411"/>
      <c s="370"/>
      <c s="370"/>
      <c s="370"/>
      <c s="370"/>
      <c s="370"/>
      <c s="370"/>
      <c s="370"/>
      <c s="370"/>
      <c s="370"/>
      <c s="327"/>
      <c s="2258"/>
      <c r="AS59" s="503"/>
      <c s="503" t="str">
        <f>IF(V59="","",V59)</f>
        <v>Добавить вид теплоносителя (параметры теплоносителя)</v>
      </c>
      <c s="503"/>
      <c s="503"/>
      <c s="1158">
        <v>11</v>
      </c>
    </row>
    <row r="60" spans="1:49" ht="11.55" customHeight="1">
      <c r="A60" s="1270" t="s">
        <v>176</v>
      </c>
      <c s="1270" t="s">
        <v>177</v>
      </c>
      <c s="1270" t="s">
        <v>178</v>
      </c>
      <c s="1270" t="s">
        <v>179</v>
      </c>
      <c s="2293"/>
      <c s="2293"/>
      <c s="2293"/>
      <c s="2314"/>
      <c s="2130"/>
      <c s="1270"/>
      <c s="1270"/>
      <c s="1270"/>
      <c s="1313"/>
      <c r="Q60" s="2260"/>
      <c s="1334"/>
      <c s="1334"/>
      <c s="359"/>
      <c s="1281"/>
      <c s="368" t="s">
        <v>412</v>
      </c>
      <c s="370"/>
      <c s="370"/>
      <c s="370"/>
      <c s="370"/>
      <c s="370"/>
      <c s="370"/>
      <c s="370"/>
      <c s="370"/>
      <c s="370"/>
      <c s="369"/>
      <c s="370"/>
      <c s="370"/>
      <c s="370"/>
      <c s="370"/>
      <c s="370"/>
      <c s="370"/>
      <c s="370"/>
      <c s="370"/>
      <c s="369"/>
      <c s="370"/>
      <c s="306"/>
      <c r="AS60" s="503"/>
      <c s="503" t="str">
        <f>IF(V60="","",V60)</f>
        <v>Добавить группу потребителей</v>
      </c>
      <c s="503"/>
      <c s="503"/>
      <c s="1158">
        <v>11</v>
      </c>
    </row>
    <row r="61" spans="1:49" ht="0" customHeight="1">
      <c r="A61" s="1270" t="s">
        <v>176</v>
      </c>
      <c s="1270" t="s">
        <v>177</v>
      </c>
      <c s="1270" t="s">
        <v>178</v>
      </c>
      <c s="1270" t="s">
        <v>179</v>
      </c>
      <c s="2293"/>
      <c s="2293"/>
      <c s="2293"/>
      <c s="2313"/>
      <c s="1270"/>
      <c s="1270"/>
      <c s="1270"/>
      <c s="1270"/>
      <c s="1313"/>
      <c s="691"/>
      <c s="691"/>
      <c s="512"/>
      <c s="363"/>
      <c s="378"/>
      <c s="358"/>
      <c s="363"/>
      <c s="1389"/>
      <c s="1390"/>
      <c s="1391"/>
      <c s="1391"/>
      <c s="1391"/>
      <c s="1391"/>
      <c s="1391"/>
      <c s="1391"/>
      <c s="1391"/>
      <c s="1391"/>
      <c s="1391"/>
      <c s="1391"/>
      <c s="1391"/>
      <c s="1391"/>
      <c s="1391"/>
      <c s="1391"/>
      <c s="1391"/>
      <c s="1391"/>
      <c s="1391"/>
      <c s="1391"/>
      <c s="1391"/>
      <c s="1391"/>
      <c s="1392"/>
      <c r="AS61" s="503"/>
      <c s="503" t="str">
        <f>IF(V61="","",V61)</f>
        <v/>
      </c>
      <c s="503"/>
      <c s="503"/>
      <c s="1158">
        <v>0</v>
      </c>
    </row>
    <row r="62" spans="1:49" s="1645" customFormat="1" ht="0" customHeight="1">
      <c r="A62" s="1378" t="s">
        <v>176</v>
      </c>
      <c s="1378" t="s">
        <v>177</v>
      </c>
      <c s="1378" t="s">
        <v>178</v>
      </c>
      <c s="1377"/>
      <c s="2293"/>
      <c s="2293"/>
      <c s="2292"/>
      <c s="1377"/>
      <c s="1377"/>
      <c s="1377"/>
      <c s="1377"/>
      <c s="1377"/>
      <c s="1380"/>
      <c s="1381"/>
      <c s="1381"/>
      <c s="354"/>
      <c s="1319"/>
      <c s="1320"/>
      <c s="1319"/>
      <c s="1319"/>
      <c s="1325"/>
      <c s="1328" t="s">
        <v>414</v>
      </c>
      <c s="1327"/>
      <c s="1327"/>
      <c s="1327"/>
      <c s="1327"/>
      <c s="1327"/>
      <c s="1327"/>
      <c s="1327"/>
      <c s="1327"/>
      <c s="1327"/>
      <c s="1327"/>
      <c s="1327"/>
      <c s="1327"/>
      <c s="1327"/>
      <c s="1327"/>
      <c s="1327"/>
      <c s="1327"/>
      <c s="1327"/>
      <c s="1327"/>
      <c s="1327"/>
      <c s="1327"/>
      <c s="1327"/>
      <c r="AS62" s="792"/>
      <c s="792" t="str">
        <f>IF(V62="","",V62)</f>
        <v>Добавить источник для дифференциации</v>
      </c>
      <c s="792"/>
      <c s="792"/>
      <c s="521">
        <v>0</v>
      </c>
    </row>
    <row r="63" spans="1:49" s="1645" customFormat="1" ht="0" customHeight="1">
      <c r="A63" s="1378" t="s">
        <v>176</v>
      </c>
      <c s="1378" t="s">
        <v>177</v>
      </c>
      <c s="1377"/>
      <c s="1377"/>
      <c s="2293"/>
      <c s="2292"/>
      <c s="1377"/>
      <c s="1377"/>
      <c s="1377"/>
      <c s="1377"/>
      <c s="1377"/>
      <c s="1377"/>
      <c s="1380"/>
      <c s="1382"/>
      <c s="1382"/>
      <c s="354"/>
      <c s="1319"/>
      <c s="1320"/>
      <c s="1319"/>
      <c s="1319"/>
      <c s="1325"/>
      <c s="1328" t="s">
        <v>415</v>
      </c>
      <c s="1327"/>
      <c s="1327"/>
      <c s="1327"/>
      <c s="1327"/>
      <c s="1327"/>
      <c s="1327"/>
      <c s="1327"/>
      <c s="1327"/>
      <c s="1327"/>
      <c s="1327"/>
      <c s="1327"/>
      <c s="1327"/>
      <c s="1327"/>
      <c s="1327"/>
      <c s="1327"/>
      <c s="1327"/>
      <c s="1327"/>
      <c s="1327"/>
      <c s="1327"/>
      <c s="1327"/>
      <c s="1327"/>
      <c r="AS63" s="792"/>
      <c s="792" t="str">
        <f>IF(V63="","",V63)</f>
        <v>Добавить централизованную систему для дифференциации</v>
      </c>
      <c s="792"/>
      <c s="792"/>
      <c s="521">
        <v>0</v>
      </c>
    </row>
    <row r="64" spans="1:49" s="1645" customFormat="1" ht="0" customHeight="1">
      <c r="A64" s="1378" t="s">
        <v>176</v>
      </c>
      <c s="1378"/>
      <c s="1378"/>
      <c s="1378"/>
      <c s="2292"/>
      <c s="1378"/>
      <c s="1378"/>
      <c s="1378"/>
      <c s="1378"/>
      <c s="1378"/>
      <c s="1378"/>
      <c s="1378"/>
      <c s="1384"/>
      <c s="1382"/>
      <c s="1382"/>
      <c s="354"/>
      <c s="383"/>
      <c s="1347"/>
      <c s="383"/>
      <c s="383"/>
      <c s="1325"/>
      <c s="1328" t="s">
        <v>416</v>
      </c>
      <c s="1327"/>
      <c s="1327"/>
      <c s="1327"/>
      <c s="1327"/>
      <c s="1327"/>
      <c s="1327"/>
      <c s="1327"/>
      <c s="1327"/>
      <c s="1327"/>
      <c s="1327"/>
      <c s="1327"/>
      <c s="1327"/>
      <c s="1327"/>
      <c s="1327"/>
      <c s="1327"/>
      <c s="1327"/>
      <c s="1327"/>
      <c s="1327"/>
      <c s="1327"/>
      <c s="1327"/>
      <c s="1327"/>
      <c r="AS64" s="503"/>
      <c s="503" t="str">
        <f>IF(V64="","",V64)</f>
        <v>Добавить территорию для дифференциации</v>
      </c>
      <c s="503"/>
      <c s="503"/>
      <c s="514">
        <v>0</v>
      </c>
    </row>
    <row r="65" spans="1:49" s="1645" customFormat="1" ht="4.2" customHeight="1">
      <c r="A65" s="1377"/>
      <c s="1377"/>
      <c s="1377"/>
      <c s="1377"/>
      <c s="1378"/>
      <c s="1377"/>
      <c s="1377"/>
      <c s="1377"/>
      <c s="1377"/>
      <c s="1377"/>
      <c s="1377"/>
      <c s="1377"/>
      <c s="1380"/>
      <c s="1382"/>
      <c s="1382"/>
      <c s="354"/>
      <c s="1319"/>
      <c s="1320"/>
      <c s="1319"/>
      <c s="1319"/>
      <c s="1325"/>
      <c s="1328" t="s">
        <v>448</v>
      </c>
      <c s="1327"/>
      <c s="1327"/>
      <c s="1327"/>
      <c s="1327"/>
      <c s="1327"/>
      <c s="1327"/>
      <c s="1327"/>
      <c s="1327"/>
      <c s="1327"/>
      <c s="1327"/>
      <c s="1327"/>
      <c s="1327"/>
      <c s="1327"/>
      <c s="1327"/>
      <c s="1327"/>
      <c s="1327"/>
      <c s="1327"/>
      <c s="1327"/>
      <c s="1327"/>
      <c s="1327"/>
      <c s="1327"/>
      <c r="AS65" s="792"/>
      <c s="792" t="str">
        <f>IF(V65="","",V65)</f>
        <v>Добавить наименование тарифа</v>
      </c>
      <c s="792"/>
      <c s="792"/>
      <c s="521">
        <v>4</v>
      </c>
    </row>
    <row r="66" spans="14:49" ht="11.55" customHeight="1">
      <c r="N66" s="1158"/>
      <c s="1158"/>
      <c s="512"/>
      <c s="1158"/>
      <c s="1158"/>
      <c s="1158"/>
      <c s="1158"/>
      <c s="1158"/>
      <c r="AR66" s="1158"/>
      <c s="1158"/>
      <c s="1158"/>
      <c s="1158"/>
      <c s="1158"/>
      <c s="1158">
        <v>11</v>
      </c>
    </row>
    <row r="67" spans="16:49" ht="35.7" customHeight="1">
      <c r="P67" s="512"/>
      <c r="U67" s="1256"/>
      <c s="2288"/>
      <c s="2288"/>
      <c s="2288"/>
      <c s="2288"/>
      <c s="2288"/>
      <c s="2288"/>
      <c s="2288"/>
      <c s="2288"/>
      <c s="2288"/>
      <c s="2288"/>
      <c s="2288"/>
      <c s="2288"/>
      <c s="2288"/>
      <c s="2288"/>
      <c s="2288"/>
      <c s="2288"/>
      <c s="2288"/>
      <c s="2288"/>
      <c s="2288"/>
      <c s="2288"/>
      <c s="2288"/>
      <c s="2288"/>
      <c r="AW67" s="1158">
        <v>34</v>
      </c>
    </row>
    <row r="68" spans="16:49" ht="21" customHeight="1">
      <c r="P68" s="512"/>
      <c r="V68" s="2288"/>
      <c s="2288"/>
      <c s="2288"/>
      <c s="2288"/>
      <c s="2288"/>
      <c s="2288"/>
      <c s="2288"/>
      <c s="2288"/>
      <c s="2288"/>
      <c s="2288"/>
      <c s="2288"/>
      <c s="2288"/>
      <c s="2288"/>
      <c s="2288"/>
      <c s="2288"/>
      <c s="2288"/>
      <c s="2288"/>
      <c s="2288"/>
      <c s="2288"/>
      <c s="2288"/>
      <c s="2288"/>
      <c s="2288"/>
      <c r="AW68" s="1158">
        <v>20</v>
      </c>
    </row>
    <row r="69" spans="16:49" ht="14.7" customHeight="1">
      <c r="P69" s="512"/>
      <c r="AW69" s="1158">
        <v>14</v>
      </c>
    </row>
    <row r="70" spans="16:49" ht="28.5" customHeight="1">
      <c r="P70" s="512"/>
      <c r="V70" s="2288"/>
      <c s="2288"/>
      <c s="2288"/>
      <c s="2288"/>
      <c s="2288"/>
      <c s="2288"/>
      <c s="2288"/>
      <c s="2288"/>
      <c s="2288"/>
      <c s="2288"/>
      <c s="2288"/>
      <c s="2288"/>
      <c s="2288"/>
      <c s="2288"/>
      <c s="2288"/>
      <c s="2288"/>
      <c s="2288"/>
      <c s="2288"/>
      <c s="2288"/>
      <c s="2288"/>
      <c s="2288"/>
      <c s="2288"/>
      <c r="AW70" s="1158">
        <v>27</v>
      </c>
    </row>
    <row r="71" spans="16:49" ht="18.75" customHeight="1">
      <c r="P71" s="512"/>
      <c r="V71" s="2288"/>
      <c s="2288"/>
      <c s="2288"/>
      <c s="2288"/>
      <c s="2288"/>
      <c s="2288"/>
      <c s="2288"/>
      <c s="2288"/>
      <c s="2288"/>
      <c s="2288"/>
      <c s="2288"/>
      <c s="2288"/>
      <c s="2288"/>
      <c s="2288"/>
      <c s="2288"/>
      <c s="2288"/>
      <c s="2288"/>
      <c s="2288"/>
      <c s="2288"/>
      <c s="2288"/>
      <c s="2288"/>
      <c s="2288"/>
      <c r="AW71" s="1158">
        <v>18</v>
      </c>
    </row>
    <row r="72" spans="1:49" ht="22.5" customHeight="1" hidden="1">
      <c r="A72" s="1158" t="s">
        <v>81</v>
      </c>
      <c s="1158">
        <v>0</v>
      </c>
      <c s="1158">
        <v>0</v>
      </c>
      <c s="1158">
        <v>0</v>
      </c>
      <c s="1158">
        <v>0</v>
      </c>
      <c s="1158">
        <v>0</v>
      </c>
      <c s="1158">
        <v>0</v>
      </c>
      <c s="1158">
        <v>0</v>
      </c>
      <c s="1158">
        <v>0</v>
      </c>
      <c s="1158">
        <v>0</v>
      </c>
      <c s="1158">
        <v>0</v>
      </c>
      <c s="1158">
        <v>0</v>
      </c>
      <c s="1330">
        <v>0</v>
      </c>
      <c s="1331">
        <v>0</v>
      </c>
      <c s="1331">
        <v>0</v>
      </c>
      <c s="1331">
        <v>0</v>
      </c>
      <c s="1331">
        <v>0</v>
      </c>
      <c s="347">
        <v>3</v>
      </c>
      <c s="347">
        <v>3</v>
      </c>
      <c s="347">
        <v>3</v>
      </c>
      <c s="584">
        <v>12</v>
      </c>
      <c s="1158">
        <v>31</v>
      </c>
      <c s="1158">
        <v>0</v>
      </c>
      <c s="1158">
        <v>0</v>
      </c>
      <c s="1158">
        <v>0</v>
      </c>
      <c s="1158">
        <v>0</v>
      </c>
      <c s="1158">
        <v>0</v>
      </c>
      <c s="1158">
        <v>0</v>
      </c>
      <c s="1158">
        <v>0</v>
      </c>
      <c s="1158">
        <v>0</v>
      </c>
      <c s="1158">
        <v>0</v>
      </c>
      <c s="1158">
        <v>0</v>
      </c>
      <c s="1158">
        <v>21</v>
      </c>
      <c s="1158">
        <v>21</v>
      </c>
      <c s="1158">
        <v>21</v>
      </c>
      <c s="1158">
        <v>21</v>
      </c>
      <c s="1158">
        <v>21</v>
      </c>
      <c s="1158">
        <v>11</v>
      </c>
      <c s="1158">
        <v>3</v>
      </c>
      <c s="1158">
        <v>11</v>
      </c>
      <c s="1158">
        <v>8</v>
      </c>
      <c s="1158">
        <v>4</v>
      </c>
      <c s="1158">
        <v>115</v>
      </c>
      <c s="514">
        <v>10</v>
      </c>
      <c s="514">
        <v>10</v>
      </c>
      <c s="514">
        <v>10</v>
      </c>
      <c s="514">
        <v>10</v>
      </c>
      <c s="514">
        <v>10</v>
      </c>
      <c s="1158">
        <v>23</v>
      </c>
    </row>
  </sheetData>
  <sheetProtection formatColumns="0" formatRows="0" insertRows="0" deleteColumns="0" deleteRows="0" sort="0" autoFilter="0"/>
  <mergeCells count="122">
    <mergeCell ref="V71:AQ71"/>
    <mergeCell ref="U39:V39"/>
    <mergeCell ref="X39:AE39"/>
    <mergeCell ref="AG39:AN39"/>
    <mergeCell ref="U38:V38"/>
    <mergeCell ref="X38:AE38"/>
    <mergeCell ref="AG38:AN38"/>
    <mergeCell ref="AL55:AL58"/>
    <mergeCell ref="AM55:AM58"/>
    <mergeCell ref="AN55:AN58"/>
    <mergeCell ref="AO55:AO58"/>
    <mergeCell ref="V70:AQ70"/>
    <mergeCell ref="AQ42:AQ47"/>
    <mergeCell ref="AQ56:AQ59"/>
    <mergeCell ref="V67:AQ67"/>
    <mergeCell ref="V68:AQ68"/>
    <mergeCell ref="Y44:AB44"/>
    <mergeCell ref="Y45:Y47"/>
    <mergeCell ref="Z45:AB45"/>
    <mergeCell ref="AA46:AB46"/>
    <mergeCell ref="Z46:Z47"/>
    <mergeCell ref="AC46:AC47"/>
    <mergeCell ref="AD46:AE47"/>
    <mergeCell ref="AC44:AE45"/>
    <mergeCell ref="AH44:AK44"/>
    <mergeCell ref="AL44:AN45"/>
    <mergeCell ref="AH45:AH47"/>
    <mergeCell ref="X53:AF53"/>
    <mergeCell ref="AG53:AP53"/>
    <mergeCell ref="AI45:AK45"/>
    <mergeCell ref="AI46:AI47"/>
    <mergeCell ref="AJ46:AK46"/>
    <mergeCell ref="AL46:AL47"/>
    <mergeCell ref="AM46:AN47"/>
    <mergeCell ref="AP43:AP47"/>
    <mergeCell ref="X44:X47"/>
    <mergeCell ref="AG44:AG47"/>
    <mergeCell ref="AC55:AC58"/>
    <mergeCell ref="AE55:AE58"/>
    <mergeCell ref="AD55:AD58"/>
    <mergeCell ref="E49:E64"/>
    <mergeCell ref="X49:AF49"/>
    <mergeCell ref="AG49:AP49"/>
    <mergeCell ref="F50:F63"/>
    <mergeCell ref="X50:AF50"/>
    <mergeCell ref="AG50:AP50"/>
    <mergeCell ref="G51:G62"/>
    <mergeCell ref="X51:AF51"/>
    <mergeCell ref="AG51:AP51"/>
    <mergeCell ref="H52:H61"/>
    <mergeCell ref="X52:AF52"/>
    <mergeCell ref="AG52:AP52"/>
    <mergeCell ref="I53:I60"/>
    <mergeCell ref="Q53:Q60"/>
    <mergeCell ref="L56:L57"/>
    <mergeCell ref="AF55:AF58"/>
    <mergeCell ref="U36:V36"/>
    <mergeCell ref="X36:AE36"/>
    <mergeCell ref="AG36:AN36"/>
    <mergeCell ref="X33:AE33"/>
    <mergeCell ref="AG33:AN33"/>
    <mergeCell ref="U34:V34"/>
    <mergeCell ref="X34:AE34"/>
    <mergeCell ref="AG34:AN34"/>
    <mergeCell ref="J54:J59"/>
    <mergeCell ref="R54:R59"/>
    <mergeCell ref="X54:AF54"/>
    <mergeCell ref="AG54:AP54"/>
    <mergeCell ref="K55:K58"/>
    <mergeCell ref="AD48:AE48"/>
    <mergeCell ref="AM48:AN48"/>
    <mergeCell ref="X41:AF41"/>
    <mergeCell ref="AG41:AO41"/>
    <mergeCell ref="U42:AP42"/>
    <mergeCell ref="U43:U47"/>
    <mergeCell ref="V43:V47"/>
    <mergeCell ref="X43:AE43"/>
    <mergeCell ref="AF43:AF47"/>
    <mergeCell ref="AG43:AN43"/>
    <mergeCell ref="AO43:AO47"/>
    <mergeCell ref="AQ9:AQ12"/>
    <mergeCell ref="J7:J12"/>
    <mergeCell ref="R7:R12"/>
    <mergeCell ref="X7:AF7"/>
    <mergeCell ref="AG7:AP7"/>
    <mergeCell ref="S8:S11"/>
    <mergeCell ref="U35:V35"/>
    <mergeCell ref="X35:AE35"/>
    <mergeCell ref="AG35:AN35"/>
    <mergeCell ref="K8:K11"/>
    <mergeCell ref="L9:L10"/>
    <mergeCell ref="AC8:AC11"/>
    <mergeCell ref="AE8:AE11"/>
    <mergeCell ref="AD8:AD11"/>
    <mergeCell ref="AF8:AF11"/>
    <mergeCell ref="AL8:AL11"/>
    <mergeCell ref="AM8:AM11"/>
    <mergeCell ref="AN8:AN11"/>
    <mergeCell ref="AO8:AO11"/>
    <mergeCell ref="U30:AN30"/>
    <mergeCell ref="U31:AN31"/>
    <mergeCell ref="U33:V33"/>
    <mergeCell ref="AL19:AL22"/>
    <mergeCell ref="AM19:AM22"/>
    <mergeCell ref="AN19:AN22"/>
    <mergeCell ref="AO19:AO22"/>
    <mergeCell ref="E2:E17"/>
    <mergeCell ref="X2:AF2"/>
    <mergeCell ref="AG2:AP2"/>
    <mergeCell ref="F3:F16"/>
    <mergeCell ref="X3:AF3"/>
    <mergeCell ref="AG3:AP3"/>
    <mergeCell ref="G4:G15"/>
    <mergeCell ref="X4:AF4"/>
    <mergeCell ref="AG4:AP4"/>
    <mergeCell ref="H5:H14"/>
    <mergeCell ref="X5:AF5"/>
    <mergeCell ref="AG5:AP5"/>
    <mergeCell ref="I6:I13"/>
    <mergeCell ref="Q6:Q13"/>
    <mergeCell ref="X6:AF6"/>
    <mergeCell ref="AG6:AP6"/>
  </mergeCells>
  <dataValidations count="8">
    <dataValidation type="list" allowBlank="1" showInputMessage="1" showErrorMessage="1" errorTitle="Ошибка" error="Выберите значение из списка" sqref="V65592 V131128 V196664 V262200 V327736 V393272 V458808 V524344 V589880 V655416 V720952 V786488 V852024 V917560 V983096">
      <formula1>kind_of_heat_transfer</formula1>
    </dataValidation>
    <dataValidation type="list" allowBlank="1" showInputMessage="1" showErrorMessage="1" errorTitle="Ошибка" error="Выберите значение из списка" sqref="X65590:Z65590 X983094:Z983094 X131126:Z131126 X196662:Z196662 X262198:Z262198 X327734:Z327734 X393270:Z393270 X458806:Z458806 X524342:Z524342 X589878:Z589878 X655414:Z655414 X720950:Z720950 X786486:Z786486 X852022:Z852022 X917558:Z917558 AG983094:AI983094 AG65590:AI65590 AG131126:AI131126 AG196662:AI196662 AG262198:AI262198 AG327734:AI327734 AG393270:AI393270 AG458806:AI458806 AG524342:AI524342 AG589878:AI589878 AG655414:AI655414 AG720950:AI720950 AG786486:AI786486 AG852022:AI852022 AG917558:AI917558">
      <formula1>kind_of_scheme_in</formula1>
    </dataValidation>
    <dataValidation type="list" allowBlank="1" showInputMessage="1" prompt="Выберите значение из списка" errorTitle="Ошибка" error="Выберите значение из списка" sqref="X65591:AP65591 X983095:AP983095 X131127:AP131127 X196663:AP196663 X262199:AP262199 X327735:AP327735 X393271:AP393271 X458807:AP458807 X524343:AP524343 X589879:AP589879 X655415:AP655415 X720951:AP720951 X786487:AP786487 X852023:AP852023 X917559:AP917559">
      <formula1>kind_of_cons</formula1>
    </dataValidation>
    <dataValidation allowBlank="1" sqref="U65594:AQ65600 U131130:AQ131136 U196666:AQ196672 U262202:AQ262208 U327738:AQ327744 U393274:AQ393280 U458810:AQ458816 U524346:AQ524352 U589882:AQ589888 U655418:AQ655424 U720954:AQ720960 U786490:AQ786496 U852026:AQ852032 U917562:AQ917568 U983098:AQ983104"/>
    <dataValidation type="textLength" operator="lessThanOrEqual" allowBlank="1" showInputMessage="1" showErrorMessage="1" errorTitle="Ошибка" error="Допускается ввод не более 900 символов!" sqref="AQ65586:AQ65593 AQ131122:AQ131129 AQ196658:AQ196665 AQ262194:AQ262201 AQ327730:AQ327737 AQ393266:AQ393273 AQ458802:AQ458809 AQ524338:AQ524345 AQ589874:AQ589881 AQ655410:AQ655417 AQ720946:AQ720953 AQ786482:AQ786489 AQ852018:AQ852025 AQ917554:AQ917561 AQ983090:AQ983097">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8 AC65592 AC131128 AC196664 AC262200 AC327736 AC393272 AC458808 AC524344 AC589880 AC655416 AC720952 AC786488 AC852024 AC917560 AC983096 AE65592 AE131128 AE196664 AE262200 AE327736 AE393272 AE458808 AE524344 AE589880 AE655416 AE720952 AE786488 AE852024 AE917560 AE983096 AN55 AL65592 AL131128 AL196664 AL262200 AL327736 AL393272 AL458808 AL524344 AL589880 AL655416 AL720952 AL786488 AL852024 AL917560 AL983096 AN65592 AN131128 AN196664 AN262200 AN327736 AN393272 AN458808 AN524344 AN589880 AN655416 AN720952 AN786488 AN852024 AN917560 AN983096 AC55 AE55 AL55 AE8 AL19:AL21 AN19:AN21 AN8 AL8"/>
    <dataValidation allowBlank="1" promptTitle="checkPeriodRange" sqref="AB10:AB11 AB65593 AB131129 AB196665 AB262201 AB327737 AB393273 AB458809 AB524345 AB589881 AB655417 AB720953 AB786489 AB852025 AB917561 AB983097 AK65593 AK131129 AK196665 AK262201 AK327737 AK393273 AK458809 AK524345 AK589881 AK655417 AK720953 AK786489 AK852025 AK917561 AK983097 AK10:AK11 AK57 AK22 AB57"/>
    <dataValidation allowBlank="1" showInputMessage="1" showErrorMessage="1" prompt="Для выбора выполните двойной щелчок левой клавиши мыши по соответствующей ячейке." sqref="AD8 AD65592 AD131128 AD196664 AD262200 AD327736 AD393272 AD458808 AD524344 AD589880 AD655416 AD720952 AD786488 AD852024 AD917560 AD983096 AF131128 AF458808 AF196664 AF262200 AF327736 AF393272 AF524344 AF589880 AF655416 AF720952 AF786488 AF852024 AF917560 AF983096 AF65592 AM65592 AM131128 AM196664 AM262200 AM327736 AM393272 AM458808 AM524344 AM589880 AM655416 AM720952 AM786488 AM852024 AM917560 AM983096 AO393272 AO327736 AO524344 AO55 AO589880 AO655416 AO19:AO21 AO720952 AO786488 AO852024 AO917560 AO983096 AO65592 AO131128 AO458808 AF55 AO196664 AF8 AM55 AM19:AM21 AO262200 AD55 AO8 AM8"/>
  </dataValidations>
  <pageMargins left="0.7" right="0.7" top="0.75" bottom="0.75" header="0.3" footer="0.3"/>
  <pageSetup orientation="portrait" paperSize="9"/>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m="http://schemas.microsoft.com/office/excel/2006/main" xmlns:x14ac="http://schemas.microsoft.com/office/spreadsheetml/2009/9/ac" xmlns:xr="http://schemas.microsoft.com/office/spreadsheetml/2014/revision" xmlns:xr2="http://schemas.microsoft.com/office/spreadsheetml/2015/revision2" xmlns:xr3="http://schemas.microsoft.com/office/spreadsheetml/2016/revision3" xr:uid="{211F3D0E-43FC-8E01-1783-38ADE55EB415}" mc:Ignorable="x14ac xr xr2 xr3">
  <sheetPr>
    <tabColor theme="6" tint="0.400000005960464"/>
  </sheetPr>
  <dimension ref="A1:BA70"/>
  <sheetViews>
    <sheetView showGridLines="0" zoomScale="90" zoomScaleNormal="90" workbookViewId="0" topLeftCell="A1">
      <pane xSplit="27" ySplit="44" topLeftCell="AB45" activePane="bottomRight" state="frozen"/>
      <selection pane="topLeft" activeCell="A1" sqref="A1"/>
      <selection pane="bottomLeft" activeCell="A45" sqref="A45"/>
      <selection pane="topRight" activeCell="AB1" sqref="AB1"/>
      <selection pane="bottomRight" activeCell="A1" sqref="A1"/>
    </sheetView>
  </sheetViews>
  <sheetFormatPr defaultColWidth="10.5742857142857" defaultRowHeight="14.25" customHeight="1"/>
  <cols>
    <col min="1" max="1" width="10.5714285714286" style="1369" hidden="1"/>
    <col min="2" max="2" width="11" style="1369" hidden="1" customWidth="1"/>
    <col min="3" max="3" width="10.5714285714286" style="1369" hidden="1"/>
    <col min="4" max="4" width="11.8571428571429" style="1369" hidden="1" customWidth="1"/>
    <col min="5" max="5" width="10" style="1369" hidden="1" customWidth="1"/>
    <col min="6" max="6" width="8.71428571428571" style="1369" hidden="1" customWidth="1"/>
    <col min="7" max="7" width="7.57142857142857" style="1369" hidden="1" customWidth="1"/>
    <col min="8" max="8" width="11.4285714285714" style="1369" hidden="1" customWidth="1"/>
    <col min="9" max="9" width="12" style="1369" hidden="1" customWidth="1"/>
    <col min="10" max="10" width="9.85714285714286" style="1369" hidden="1" customWidth="1"/>
    <col min="11" max="11" width="11.4285714285714" style="1369" hidden="1" customWidth="1"/>
    <col min="12" max="12" width="19.1428571428571" style="2610" hidden="1" customWidth="1"/>
    <col min="13" max="14" width="12.2857142857143" style="1779" hidden="1" customWidth="1"/>
    <col min="15" max="15" width="23.4285714285714" style="1779" hidden="1" customWidth="1"/>
    <col min="16" max="16" width="3" style="1779" customWidth="1"/>
    <col min="17" max="17" width="3" style="1374" customWidth="1"/>
    <col min="18" max="18" width="3" style="347" customWidth="1"/>
    <col min="19" max="19" width="12" style="2410" customWidth="1"/>
    <col min="20" max="20" width="31" style="1638" customWidth="1"/>
    <col min="21" max="21" width="0.142857142857143" style="1638" customWidth="1"/>
    <col min="22" max="23" width="21.7142857142857" style="1638" hidden="1" customWidth="1"/>
    <col min="24" max="24" width="11.7142857142857" style="1638" hidden="1" customWidth="1"/>
    <col min="25" max="25" width="3.71428571428571" style="1638" hidden="1" customWidth="1"/>
    <col min="26" max="26" width="11.7142857142857" style="1638" hidden="1" customWidth="1"/>
    <col min="27" max="27" width="8.57142857142857" style="1638" hidden="1" customWidth="1"/>
    <col min="28" max="28" width="5.42857142857143" style="1638" customWidth="1"/>
    <col min="29" max="30" width="3" style="1638" customWidth="1"/>
    <col min="31" max="31" width="24" style="1638" customWidth="1"/>
    <col min="32" max="32" width="3.71428571428571" style="1638" customWidth="1"/>
    <col min="33" max="34" width="3" style="1638" customWidth="1"/>
    <col min="35" max="35" width="24" style="1638" customWidth="1"/>
    <col min="36" max="36" width="3.71428571428571" style="1638" customWidth="1"/>
    <col min="37" max="38" width="3" style="1638" customWidth="1"/>
    <col min="39" max="39" width="18" style="1638" customWidth="1"/>
    <col min="40" max="41" width="21" style="1638" customWidth="1"/>
    <col min="42" max="42" width="11" style="1638" customWidth="1"/>
    <col min="43" max="43" width="3.71428571428571" style="1638" customWidth="1"/>
    <col min="44" max="44" width="11" style="1638" customWidth="1"/>
    <col min="45" max="45" width="8.57142857142857" style="1638" hidden="1" customWidth="1"/>
    <col min="46" max="46" width="4" style="1638" customWidth="1"/>
    <col min="47" max="47" width="115" style="1638" customWidth="1"/>
    <col min="48" max="52" width="10" style="1645" customWidth="1"/>
    <col min="53" max="53" width="10.5714285714286" style="1638" hidden="1"/>
  </cols>
  <sheetData>
    <row r="1" spans="23:53" ht="22.5" customHeight="1" hidden="1">
      <c r="W1" s="330"/>
      <c s="330"/>
      <c r="AO1" s="330"/>
      <c s="330"/>
      <c r="BA1" s="1158" t="s">
        <v>14</v>
      </c>
    </row>
    <row r="2" spans="1:53" ht="21" customHeight="1" hidden="1">
      <c r="A2" s="1366"/>
      <c s="1366"/>
      <c s="1366"/>
      <c s="1366"/>
      <c s="2261">
        <v>1</v>
      </c>
      <c s="1366"/>
      <c s="1366"/>
      <c s="1366"/>
      <c s="1366"/>
      <c s="1366"/>
      <c s="1366"/>
      <c s="1367"/>
      <c s="1368"/>
      <c s="1368"/>
      <c s="1368"/>
      <c s="1412"/>
      <c s="876"/>
      <c s="358"/>
      <c s="1339">
        <f>INDEX(PT_DIFFERENTIATION_NUM_NTAR,MATCH(A2,PT_DIFFERENTIATION_NTAR_ID,0))</f>
      </c>
      <c s="301" t="s">
        <v>125</v>
      </c>
      <c s="303"/>
      <c s="2246"/>
      <c s="2246"/>
      <c s="2246"/>
      <c s="2246"/>
      <c s="2246"/>
      <c s="2247"/>
      <c s="2245">
        <f>INDEX(PT_DIFFERENTIATION_NTAR,MATCH(A2,PT_DIFFERENTIATION_NTAR_ID,0))</f>
      </c>
      <c s="2246"/>
      <c s="2246"/>
      <c s="2246"/>
      <c s="2246"/>
      <c s="2246"/>
      <c s="2246"/>
      <c s="2246"/>
      <c s="2246"/>
      <c s="2246"/>
      <c s="2246"/>
      <c s="2246"/>
      <c s="2246"/>
      <c s="2246"/>
      <c s="2246"/>
      <c s="2246"/>
      <c s="2246"/>
      <c s="2246"/>
      <c s="2247"/>
      <c s="1261" t="s">
        <v>396</v>
      </c>
      <c r="AW2" s="503"/>
      <c s="503" t="str">
        <f>IF(T2="","",T2)</f>
        <v>Наименование тарифа</v>
      </c>
      <c s="503"/>
      <c s="503"/>
      <c s="1158">
        <v>0</v>
      </c>
    </row>
    <row r="3" spans="1:53" ht="21" customHeight="1" hidden="1">
      <c r="A3" s="1366"/>
      <c s="1366"/>
      <c s="1366"/>
      <c s="1366"/>
      <c s="2262"/>
      <c s="2261">
        <v>1</v>
      </c>
      <c s="1366"/>
      <c s="1366"/>
      <c s="1366"/>
      <c s="1366"/>
      <c s="1366"/>
      <c s="1367"/>
      <c s="1368"/>
      <c s="1368"/>
      <c s="1368"/>
      <c s="1413"/>
      <c s="1414"/>
      <c s="356"/>
      <c s="1339">
        <f>INDEX(PT_DIFFERENTIATION_NUM_TER,MATCH(B3,PT_DIFFERENTIATION_TER_ID,0))</f>
      </c>
      <c s="311" t="s">
        <v>397</v>
      </c>
      <c s="303"/>
      <c s="2246"/>
      <c s="2246"/>
      <c s="2246"/>
      <c s="2246"/>
      <c s="2246"/>
      <c s="2247"/>
      <c s="2245">
        <f>INDEX(PT_DIFFERENTIATION_TER,MATCH(B3,PT_DIFFERENTIATION_TER_ID,0))</f>
      </c>
      <c s="2246"/>
      <c s="2246"/>
      <c s="2246"/>
      <c s="2246"/>
      <c s="2246"/>
      <c s="2246"/>
      <c s="2246"/>
      <c s="2246"/>
      <c s="2246"/>
      <c s="2246"/>
      <c s="2246"/>
      <c s="2246"/>
      <c s="2246"/>
      <c s="2246"/>
      <c s="2246"/>
      <c s="2246"/>
      <c s="2246"/>
      <c s="2247"/>
      <c s="1261" t="s">
        <v>398</v>
      </c>
      <c r="AW3" s="503"/>
      <c s="503" t="str">
        <f>IF(T3="","",T3)</f>
        <v>Территория действия тарифа</v>
      </c>
      <c s="503"/>
      <c s="503"/>
      <c s="1158">
        <v>0</v>
      </c>
    </row>
    <row r="4" spans="1:53" ht="22.5" customHeight="1" hidden="1">
      <c r="A4" s="1366"/>
      <c s="1366"/>
      <c s="1366"/>
      <c s="1366"/>
      <c s="2262"/>
      <c s="2262"/>
      <c s="2261">
        <v>1</v>
      </c>
      <c s="1366"/>
      <c s="1366"/>
      <c s="1366"/>
      <c s="1366"/>
      <c s="1367"/>
      <c s="1368"/>
      <c s="1368"/>
      <c s="1368"/>
      <c s="1415"/>
      <c s="1414"/>
      <c s="356"/>
      <c s="1339">
        <f>INDEX(PT_DIFFERENTIATION_NUM_CS,MATCH(C4,PT_DIFFERENTIATION_CS_ID,0))</f>
      </c>
      <c s="312" t="s">
        <v>399</v>
      </c>
      <c s="303"/>
      <c s="2246"/>
      <c s="2246"/>
      <c s="2246"/>
      <c s="2246"/>
      <c s="2246"/>
      <c s="2247"/>
      <c s="2245">
        <f>INDEX(PT_DIFFERENTIATION_CS,MATCH(C4,PT_DIFFERENTIATION_CS_ID,0))</f>
      </c>
      <c s="2246"/>
      <c s="2246"/>
      <c s="2246"/>
      <c s="2246"/>
      <c s="2246"/>
      <c s="2246"/>
      <c s="2246"/>
      <c s="2246"/>
      <c s="2246"/>
      <c s="2246"/>
      <c s="2246"/>
      <c s="2246"/>
      <c s="2246"/>
      <c s="2246"/>
      <c s="2246"/>
      <c s="2246"/>
      <c s="2246"/>
      <c s="2247"/>
      <c s="1261" t="s">
        <v>400</v>
      </c>
      <c r="AW4" s="503"/>
      <c s="503" t="str">
        <f>IF(T4="","",T4)</f>
        <v>Наименование системы теплоснабжения</v>
      </c>
      <c s="503"/>
      <c s="503"/>
      <c s="1158">
        <v>0</v>
      </c>
    </row>
    <row r="5" spans="1:53" ht="21" customHeight="1" hidden="1">
      <c r="A5" s="1366"/>
      <c s="1366"/>
      <c s="1366"/>
      <c s="1366"/>
      <c s="2262"/>
      <c s="2262"/>
      <c s="2262"/>
      <c s="2261">
        <v>1</v>
      </c>
      <c s="1366"/>
      <c s="1366"/>
      <c s="1366"/>
      <c s="1367"/>
      <c s="1368"/>
      <c s="1368"/>
      <c s="1368"/>
      <c s="1415"/>
      <c s="1414"/>
      <c s="356"/>
      <c s="1339">
        <f>INDEX(PT_DIFFERENTIATION_NUM_IST_TE,MATCH(D5,PT_DIFFERENTIATION_IST_TE_ID,0))</f>
      </c>
      <c s="313" t="s">
        <v>401</v>
      </c>
      <c s="303"/>
      <c s="2246"/>
      <c s="2246"/>
      <c s="2246"/>
      <c s="2246"/>
      <c s="2246"/>
      <c s="2247"/>
      <c s="2245">
        <f>INDEX(PT_DIFFERENTIATION_IST_TE,MATCH(D5,PT_DIFFERENTIATION_IST_TE_ID,0))</f>
      </c>
      <c s="2246"/>
      <c s="2246"/>
      <c s="2246"/>
      <c s="2246"/>
      <c s="2246"/>
      <c s="2246"/>
      <c s="2246"/>
      <c s="2246"/>
      <c s="2246"/>
      <c s="2246"/>
      <c s="2246"/>
      <c s="2246"/>
      <c s="2246"/>
      <c s="2246"/>
      <c s="2246"/>
      <c s="2246"/>
      <c s="2246"/>
      <c s="2247"/>
      <c s="1261" t="s">
        <v>402</v>
      </c>
      <c r="AW5" s="503"/>
      <c s="503" t="str">
        <f>IF(T5="","",T5)</f>
        <v>Источник тепловой энергии</v>
      </c>
      <c s="503"/>
      <c s="503"/>
      <c s="1158">
        <v>0</v>
      </c>
    </row>
    <row r="6" spans="1:53" s="1645" customFormat="1" ht="0.75" customHeight="1" hidden="1">
      <c r="A6" s="1346"/>
      <c s="1346"/>
      <c s="1346"/>
      <c s="1346"/>
      <c s="2262"/>
      <c s="2262"/>
      <c s="2262"/>
      <c s="2262"/>
      <c s="2259">
        <f>S5&amp;".1"</f>
      </c>
      <c s="1346"/>
      <c s="1346"/>
      <c s="1349" t="s">
        <v>403</v>
      </c>
      <c s="513"/>
      <c s="513"/>
      <c s="513"/>
      <c s="2260">
        <v>1</v>
      </c>
      <c s="1334"/>
      <c s="359"/>
      <c s="1045"/>
      <c s="1386"/>
      <c s="1387"/>
      <c s="2300"/>
      <c s="2300"/>
      <c s="2300"/>
      <c s="2300"/>
      <c s="2300"/>
      <c s="2301"/>
      <c s="2299"/>
      <c s="2300"/>
      <c s="2300"/>
      <c s="2300"/>
      <c s="2300"/>
      <c s="2300"/>
      <c s="2300"/>
      <c s="2300"/>
      <c s="2300"/>
      <c s="2300"/>
      <c s="2300"/>
      <c s="2300"/>
      <c s="2300"/>
      <c s="2300"/>
      <c s="2300"/>
      <c s="2300"/>
      <c s="2300"/>
      <c s="2300"/>
      <c s="2301"/>
      <c s="1388"/>
      <c r="AW6" s="503"/>
      <c s="503" t="str">
        <f>IF(T6="","",T6)</f>
        <v/>
      </c>
      <c s="503"/>
      <c s="503"/>
      <c s="514">
        <v>0</v>
      </c>
    </row>
    <row r="7" spans="1:53" s="1645" customFormat="1" ht="0.75" customHeight="1" hidden="1">
      <c r="A7" s="1346"/>
      <c s="1346"/>
      <c s="1346"/>
      <c s="1346"/>
      <c s="2262"/>
      <c s="2262"/>
      <c s="2262"/>
      <c s="2262"/>
      <c s="2289"/>
      <c s="2259">
        <f>S5&amp;".1"</f>
      </c>
      <c s="1346"/>
      <c s="1349"/>
      <c s="513"/>
      <c s="513"/>
      <c s="513"/>
      <c s="2260"/>
      <c s="2260">
        <v>1</v>
      </c>
      <c s="360"/>
      <c s="1045"/>
      <c s="1402"/>
      <c s="1387"/>
      <c s="2300"/>
      <c s="2300"/>
      <c s="2300"/>
      <c s="2300"/>
      <c s="2300"/>
      <c s="2301"/>
      <c s="2299"/>
      <c s="2300"/>
      <c s="2300"/>
      <c s="2300"/>
      <c s="2300"/>
      <c s="2300"/>
      <c s="2300"/>
      <c s="2300"/>
      <c s="2300"/>
      <c s="2300"/>
      <c s="2300"/>
      <c s="2300"/>
      <c s="2300"/>
      <c s="2300"/>
      <c s="2300"/>
      <c s="2300"/>
      <c s="2300"/>
      <c s="2300"/>
      <c s="2301"/>
      <c s="1388"/>
      <c r="AW7" s="503"/>
      <c s="503" t="str">
        <f>IF(T7="","",T7)</f>
        <v/>
      </c>
      <c s="503"/>
      <c s="503"/>
      <c s="514">
        <v>0</v>
      </c>
    </row>
    <row r="8" spans="1:53" ht="21" customHeight="1" hidden="1">
      <c r="A8" s="1366"/>
      <c s="1366"/>
      <c s="1366"/>
      <c s="1366"/>
      <c s="2262"/>
      <c s="2262"/>
      <c s="2262"/>
      <c s="2262"/>
      <c s="2289"/>
      <c s="2289"/>
      <c s="2259">
        <f>S5&amp;".1"</f>
      </c>
      <c s="1367"/>
      <c r="P8" s="2260"/>
      <c s="2260"/>
      <c s="2350">
        <v>1</v>
      </c>
      <c s="2344">
        <f>$K8</f>
      </c>
      <c s="2347"/>
      <c s="303"/>
      <c s="754"/>
      <c s="1260"/>
      <c s="2268"/>
      <c s="2110" t="s">
        <v>65</v>
      </c>
      <c s="2268"/>
      <c s="2110" t="s">
        <v>65</v>
      </c>
      <c s="2110" t="s">
        <v>19</v>
      </c>
      <c s="2329"/>
      <c s="2208">
        <v>1</v>
      </c>
      <c s="2330"/>
      <c s="2110" t="s">
        <v>19</v>
      </c>
      <c s="2329"/>
      <c s="2208">
        <v>1</v>
      </c>
      <c s="2330"/>
      <c s="2110" t="s">
        <v>19</v>
      </c>
      <c s="314"/>
      <c s="1340">
        <v>1</v>
      </c>
      <c s="1401"/>
      <c s="754"/>
      <c s="1260"/>
      <c s="1737"/>
      <c s="1462" t="s">
        <v>65</v>
      </c>
      <c s="1737"/>
      <c s="1462" t="s">
        <v>65</v>
      </c>
      <c s="1351"/>
      <c s="2256" t="s">
        <v>464</v>
      </c>
      <c s="514">
        <f>STRCHECKDATE(V11:AT11)</f>
      </c>
      <c s="503"/>
      <c s="503" t="str">
        <f>IF(T8="","",T8)</f>
        <v/>
      </c>
      <c s="503"/>
      <c s="503"/>
      <c s="1158">
        <v>0</v>
      </c>
    </row>
    <row r="9" spans="1:53" ht="11.25" customHeight="1" hidden="1">
      <c r="A9" s="1366"/>
      <c s="1366"/>
      <c s="1366"/>
      <c s="1366"/>
      <c s="2262"/>
      <c s="2262"/>
      <c s="2262"/>
      <c s="2262"/>
      <c s="2289"/>
      <c s="2289"/>
      <c s="2259"/>
      <c s="1367"/>
      <c r="P9" s="2260"/>
      <c s="2260"/>
      <c s="2350"/>
      <c s="2345"/>
      <c s="2348"/>
      <c s="303"/>
      <c s="1396"/>
      <c s="1400"/>
      <c s="2268"/>
      <c s="2110"/>
      <c s="2268"/>
      <c s="2110"/>
      <c s="2110"/>
      <c s="2329"/>
      <c s="2208"/>
      <c s="2330"/>
      <c s="2110"/>
      <c s="2329"/>
      <c s="2208"/>
      <c s="2330"/>
      <c s="2110"/>
      <c s="319"/>
      <c s="419"/>
      <c s="418" t="s">
        <v>465</v>
      </c>
      <c s="1396"/>
      <c s="1499"/>
      <c s="1396"/>
      <c s="1396"/>
      <c s="1396"/>
      <c s="1396"/>
      <c s="1393"/>
      <c s="2257"/>
      <c r="AW9" s="503"/>
      <c s="503"/>
      <c s="503"/>
      <c s="503"/>
      <c s="1158">
        <v>0</v>
      </c>
    </row>
    <row r="10" spans="1:53" ht="11.25" customHeight="1" hidden="1">
      <c r="A10" s="1366"/>
      <c s="1366"/>
      <c s="1366"/>
      <c s="1366"/>
      <c s="2262"/>
      <c s="2262"/>
      <c s="2262"/>
      <c s="2262"/>
      <c s="2289"/>
      <c s="2289"/>
      <c s="2259"/>
      <c s="1367"/>
      <c r="P10" s="2260"/>
      <c s="2260"/>
      <c s="2350"/>
      <c s="2345"/>
      <c s="2348"/>
      <c s="303"/>
      <c s="1396"/>
      <c s="1400"/>
      <c s="2268"/>
      <c s="2110"/>
      <c s="2268"/>
      <c s="2110"/>
      <c s="2110"/>
      <c s="2329"/>
      <c s="2208"/>
      <c s="2330"/>
      <c s="2110"/>
      <c s="297"/>
      <c s="418"/>
      <c s="418" t="s">
        <v>466</v>
      </c>
      <c s="1396"/>
      <c s="1396"/>
      <c s="1396"/>
      <c s="1396"/>
      <c s="1396"/>
      <c s="1499"/>
      <c s="1396"/>
      <c s="1396"/>
      <c s="1396"/>
      <c s="1396"/>
      <c s="1393"/>
      <c s="2257"/>
      <c r="AW10" s="503"/>
      <c s="503"/>
      <c s="503"/>
      <c s="503"/>
      <c s="1158">
        <v>0</v>
      </c>
    </row>
    <row r="11" spans="1:53" ht="11.25" customHeight="1" hidden="1">
      <c r="A11" s="1366"/>
      <c s="1366"/>
      <c s="1366"/>
      <c s="1366"/>
      <c s="2262"/>
      <c s="2262"/>
      <c s="2262"/>
      <c s="2262"/>
      <c s="2289"/>
      <c s="2289"/>
      <c s="2259"/>
      <c s="1367"/>
      <c r="P11" s="2260"/>
      <c s="2260"/>
      <c s="2350"/>
      <c s="2346"/>
      <c s="2349"/>
      <c s="303"/>
      <c s="1396"/>
      <c s="1399" t="str">
        <f>X8&amp;"-"&amp;Z8</f>
        <v>-</v>
      </c>
      <c s="2269"/>
      <c s="2110"/>
      <c s="2269"/>
      <c s="2110"/>
      <c s="2110"/>
      <c s="315"/>
      <c s="317"/>
      <c s="418" t="s">
        <v>467</v>
      </c>
      <c s="1396"/>
      <c s="1396"/>
      <c s="1396"/>
      <c s="1396"/>
      <c s="1396"/>
      <c s="1396"/>
      <c s="1396"/>
      <c s="1396"/>
      <c s="1396"/>
      <c s="1397" t="str">
        <f>AP8&amp;"-"&amp;AR8</f>
        <v>-</v>
      </c>
      <c s="1396"/>
      <c s="1396"/>
      <c s="1396"/>
      <c s="1396"/>
      <c s="1352"/>
      <c s="2257"/>
      <c r="AW11" s="503"/>
      <c s="503" t="str">
        <f>IF(T11="","",T11)</f>
        <v/>
      </c>
      <c s="503"/>
      <c s="503"/>
      <c s="1158">
        <v>0</v>
      </c>
    </row>
    <row r="12" spans="1:53" ht="11.25" customHeight="1" hidden="1">
      <c r="A12" s="1366"/>
      <c s="1366"/>
      <c s="1366"/>
      <c s="1366"/>
      <c s="2262"/>
      <c s="2262"/>
      <c s="2262"/>
      <c s="2262"/>
      <c s="2289"/>
      <c s="2259"/>
      <c s="1366"/>
      <c s="1367"/>
      <c r="P12" s="2260"/>
      <c s="2260"/>
      <c s="359"/>
      <c s="1281"/>
      <c s="290" t="s">
        <v>468</v>
      </c>
      <c s="370"/>
      <c s="370"/>
      <c s="370"/>
      <c s="370"/>
      <c s="370"/>
      <c s="370"/>
      <c s="370"/>
      <c s="370"/>
      <c s="370"/>
      <c s="370"/>
      <c s="370"/>
      <c s="370"/>
      <c s="370"/>
      <c s="370"/>
      <c s="370"/>
      <c s="370"/>
      <c s="370"/>
      <c s="370"/>
      <c s="370"/>
      <c s="370"/>
      <c s="370"/>
      <c s="370"/>
      <c s="370"/>
      <c s="370"/>
      <c s="370"/>
      <c s="327"/>
      <c s="2258"/>
      <c r="AW12" s="503"/>
      <c s="503" t="str">
        <f>IF(T12="","",T12)</f>
        <v>Добавить строку</v>
      </c>
      <c s="503"/>
      <c s="503"/>
      <c s="1158">
        <v>0</v>
      </c>
    </row>
    <row r="13" spans="1:53" s="1645" customFormat="1" ht="0.75" customHeight="1" hidden="1">
      <c r="A13" s="1346"/>
      <c s="1346"/>
      <c s="1346"/>
      <c s="1346"/>
      <c s="2262"/>
      <c s="2262"/>
      <c s="2262"/>
      <c s="2262"/>
      <c s="2259"/>
      <c s="1346"/>
      <c s="1346"/>
      <c s="1349"/>
      <c s="513"/>
      <c s="513"/>
      <c s="513"/>
      <c s="2260"/>
      <c s="1334"/>
      <c s="359"/>
      <c s="1389"/>
      <c s="1390"/>
      <c s="1391"/>
      <c s="1391"/>
      <c s="1391"/>
      <c s="1391"/>
      <c s="1391"/>
      <c s="1391"/>
      <c s="1391"/>
      <c s="1391"/>
      <c s="1391"/>
      <c s="1391"/>
      <c s="1391"/>
      <c s="1391"/>
      <c s="1391"/>
      <c s="1391"/>
      <c s="1391"/>
      <c s="1391"/>
      <c s="1391"/>
      <c s="1391"/>
      <c s="1391"/>
      <c s="1391"/>
      <c s="1391"/>
      <c s="1391"/>
      <c s="1391"/>
      <c s="1391"/>
      <c s="1391"/>
      <c s="1391"/>
      <c s="1392"/>
      <c r="AW13" s="503"/>
      <c s="503" t="str">
        <f>IF(T13="","",T13)</f>
        <v/>
      </c>
      <c s="503"/>
      <c s="503"/>
      <c s="514">
        <v>0</v>
      </c>
    </row>
    <row r="14" spans="1:53" s="1645" customFormat="1" ht="0.75" customHeight="1" hidden="1">
      <c r="A14" s="1346"/>
      <c s="1346"/>
      <c s="1346"/>
      <c s="1346"/>
      <c s="2262"/>
      <c s="2262"/>
      <c s="2262"/>
      <c s="2261"/>
      <c s="1346"/>
      <c s="1346"/>
      <c s="1346"/>
      <c s="1349"/>
      <c s="1318"/>
      <c s="1318"/>
      <c s="521"/>
      <c s="383"/>
      <c s="1347"/>
      <c s="1404"/>
      <c s="1389"/>
      <c s="1390"/>
      <c s="1391"/>
      <c s="1391"/>
      <c s="1391"/>
      <c s="1391"/>
      <c s="1391"/>
      <c s="1391"/>
      <c s="1391"/>
      <c s="1391"/>
      <c s="1391"/>
      <c s="1391"/>
      <c s="1391"/>
      <c s="1391"/>
      <c s="1391"/>
      <c s="1391"/>
      <c s="1391"/>
      <c s="1391"/>
      <c s="1391"/>
      <c s="1391"/>
      <c s="1391"/>
      <c s="1391"/>
      <c s="1391"/>
      <c s="1391"/>
      <c s="1391"/>
      <c s="1391"/>
      <c s="1391"/>
      <c s="1391"/>
      <c s="1392"/>
      <c r="AW14" s="503"/>
      <c s="503" t="str">
        <f>IF(T14="","",T14)</f>
        <v/>
      </c>
      <c s="503"/>
      <c s="503"/>
      <c s="514">
        <v>0</v>
      </c>
    </row>
    <row r="15" spans="1:53" s="1645" customFormat="1" ht="0.75" customHeight="1" hidden="1">
      <c r="A15" s="1346"/>
      <c s="1346"/>
      <c s="1346"/>
      <c s="1317"/>
      <c s="2262"/>
      <c s="2262"/>
      <c s="2261"/>
      <c s="1317"/>
      <c s="1317"/>
      <c s="1317"/>
      <c s="1317"/>
      <c s="1342"/>
      <c s="1318"/>
      <c s="1318"/>
      <c r="P15" s="1319"/>
      <c s="1320"/>
      <c s="1319"/>
      <c s="1325"/>
      <c s="1328" t="s">
        <v>414</v>
      </c>
      <c s="1327"/>
      <c s="1327"/>
      <c s="1327"/>
      <c s="1327"/>
      <c s="1327"/>
      <c s="1327"/>
      <c s="1327"/>
      <c s="1327"/>
      <c s="1327"/>
      <c s="1327"/>
      <c s="1327"/>
      <c s="1327"/>
      <c s="1327"/>
      <c s="1327"/>
      <c s="1327"/>
      <c s="1327"/>
      <c s="1327"/>
      <c s="1327"/>
      <c s="1327"/>
      <c s="1327"/>
      <c s="1327"/>
      <c s="1327"/>
      <c s="1327"/>
      <c s="1327"/>
      <c s="1327"/>
      <c s="1327"/>
      <c s="1327"/>
      <c r="AW15" s="792"/>
      <c s="792" t="str">
        <f>IF(T15="","",T15)</f>
        <v>Добавить источник для дифференциации</v>
      </c>
      <c s="792"/>
      <c s="792"/>
      <c s="521">
        <v>0</v>
      </c>
    </row>
    <row r="16" spans="1:53" s="1645" customFormat="1" ht="0.75" customHeight="1" hidden="1">
      <c r="A16" s="1346"/>
      <c s="1346"/>
      <c s="1317"/>
      <c s="1317"/>
      <c s="2262"/>
      <c s="2261"/>
      <c s="1317"/>
      <c s="1317"/>
      <c s="1317"/>
      <c s="1317"/>
      <c s="1317"/>
      <c s="1342"/>
      <c s="1324"/>
      <c s="1324"/>
      <c r="P16" s="1319"/>
      <c s="1320"/>
      <c s="1319"/>
      <c s="1325"/>
      <c s="1328" t="s">
        <v>415</v>
      </c>
      <c s="1327"/>
      <c s="1327"/>
      <c s="1327"/>
      <c s="1327"/>
      <c s="1327"/>
      <c s="1327"/>
      <c s="1327"/>
      <c s="1327"/>
      <c s="1327"/>
      <c s="1327"/>
      <c s="1327"/>
      <c s="1327"/>
      <c s="1327"/>
      <c s="1327"/>
      <c s="1327"/>
      <c s="1327"/>
      <c s="1327"/>
      <c s="1327"/>
      <c s="1327"/>
      <c s="1327"/>
      <c s="1327"/>
      <c s="1327"/>
      <c s="1327"/>
      <c s="1327"/>
      <c s="1327"/>
      <c s="1327"/>
      <c s="1327"/>
      <c r="AW16" s="792"/>
      <c s="792" t="str">
        <f>IF(T16="","",T16)</f>
        <v>Добавить централизованную систему для дифференциации</v>
      </c>
      <c s="792"/>
      <c s="792"/>
      <c s="521">
        <v>0</v>
      </c>
    </row>
    <row r="17" spans="1:53" s="1645" customFormat="1" ht="0.75" customHeight="1" hidden="1">
      <c r="A17" s="1346"/>
      <c s="1346"/>
      <c s="1346"/>
      <c s="1346"/>
      <c s="2261"/>
      <c s="1346"/>
      <c s="1346"/>
      <c s="1346"/>
      <c s="1346"/>
      <c s="1346"/>
      <c s="1346"/>
      <c s="1349"/>
      <c s="1324"/>
      <c s="1324"/>
      <c s="521"/>
      <c s="383"/>
      <c s="1347"/>
      <c s="383"/>
      <c s="1325"/>
      <c s="1328" t="s">
        <v>416</v>
      </c>
      <c s="1327"/>
      <c s="1327"/>
      <c s="1327"/>
      <c s="1327"/>
      <c s="1327"/>
      <c s="1327"/>
      <c s="1327"/>
      <c s="1327"/>
      <c s="1327"/>
      <c s="1327"/>
      <c s="1327"/>
      <c s="1327"/>
      <c s="1327"/>
      <c s="1327"/>
      <c s="1327"/>
      <c s="1327"/>
      <c s="1327"/>
      <c s="1327"/>
      <c s="1327"/>
      <c s="1327"/>
      <c s="1327"/>
      <c s="1327"/>
      <c s="1327"/>
      <c s="1327"/>
      <c s="1327"/>
      <c s="1327"/>
      <c s="1327"/>
      <c r="AW17" s="503"/>
      <c s="503" t="str">
        <f>IF(T17="","",T17)</f>
        <v>Добавить территорию для дифференциации</v>
      </c>
      <c s="503"/>
      <c s="503"/>
      <c s="514">
        <v>0</v>
      </c>
    </row>
    <row r="18" spans="27:53" ht="14.25" customHeight="1" hidden="1">
      <c r="AA18" s="330"/>
      <c r="AS18" s="330"/>
      <c r="BA18" s="1158">
        <v>0</v>
      </c>
    </row>
    <row r="19" spans="28:53" ht="14.25" customHeight="1" hidden="1">
      <c r="AB19" s="1327" t="s">
        <v>19</v>
      </c>
      <c s="1504"/>
      <c s="551">
        <v>1</v>
      </c>
      <c s="1505"/>
      <c s="1327" t="s">
        <v>19</v>
      </c>
      <c s="1504"/>
      <c s="551">
        <v>1</v>
      </c>
      <c s="1505"/>
      <c s="1327" t="s">
        <v>19</v>
      </c>
      <c s="1506"/>
      <c s="551">
        <v>1</v>
      </c>
      <c s="1509"/>
      <c s="1406"/>
      <c s="1407"/>
      <c s="1739"/>
      <c s="1463" t="s">
        <v>65</v>
      </c>
      <c s="1739"/>
      <c s="1463" t="s">
        <v>65</v>
      </c>
      <c r="BA19" s="1158">
        <v>0</v>
      </c>
    </row>
    <row r="20" spans="48:53" ht="14.25" customHeight="1" hidden="1">
      <c r="AV20" s="499"/>
      <c s="499"/>
      <c s="499"/>
      <c s="499"/>
      <c s="499"/>
      <c s="1158">
        <v>0</v>
      </c>
    </row>
    <row r="21" spans="15:53" ht="14.25" customHeight="1" hidden="1">
      <c r="O21" s="1370" t="s">
        <v>417</v>
      </c>
      <c r="X21" s="1348"/>
      <c r="Z21" s="1348"/>
      <c s="330"/>
      <c r="AP21" s="1348"/>
      <c r="AR21" s="1348"/>
      <c s="330"/>
      <c r="AV21" s="499"/>
      <c s="499"/>
      <c s="499"/>
      <c s="499"/>
      <c s="499"/>
      <c s="1158">
        <v>0</v>
      </c>
    </row>
    <row r="22" spans="27:53" ht="14.25" customHeight="1" hidden="1">
      <c r="AA22" s="330"/>
      <c r="AS22" s="330"/>
      <c r="AV22" s="499"/>
      <c s="499"/>
      <c s="499"/>
      <c s="499"/>
      <c s="499"/>
      <c s="1158">
        <v>0</v>
      </c>
    </row>
    <row r="23" spans="13:53" s="1512" customFormat="1" ht="14.25" customHeight="1" hidden="1">
      <c r="M23" s="1511"/>
      <c s="1511"/>
      <c s="1512" t="s">
        <v>418</v>
      </c>
      <c s="1511"/>
      <c s="1513"/>
      <c s="1513"/>
      <c r="Y23" s="1510" t="s">
        <v>420</v>
      </c>
      <c r="AA23" s="1510" t="s">
        <v>421</v>
      </c>
      <c s="1510" t="s">
        <v>469</v>
      </c>
      <c r="AE23" s="1510" t="s">
        <v>470</v>
      </c>
      <c s="1510" t="s">
        <v>469</v>
      </c>
      <c r="AI23" s="1510" t="s">
        <v>471</v>
      </c>
      <c s="1510" t="s">
        <v>469</v>
      </c>
      <c r="AM23" s="1510" t="s">
        <v>472</v>
      </c>
      <c r="AQ23" s="1510" t="s">
        <v>420</v>
      </c>
      <c r="AS23" s="1510" t="s">
        <v>421</v>
      </c>
      <c r="AV23" s="1514"/>
      <c s="1514"/>
      <c s="1514"/>
      <c s="1514"/>
      <c s="1514"/>
      <c s="1510">
        <v>0</v>
      </c>
    </row>
    <row r="24" spans="15:53" ht="14.25" customHeight="1" hidden="1">
      <c r="O24" s="1367"/>
      <c r="AV24" s="499"/>
      <c s="499"/>
      <c s="499"/>
      <c s="499"/>
      <c s="499"/>
      <c s="1158">
        <v>0</v>
      </c>
    </row>
    <row r="25" spans="15:53" ht="14.25" customHeight="1" hidden="1">
      <c r="O25" s="1367"/>
      <c r="AV25" s="499"/>
      <c s="499"/>
      <c s="499"/>
      <c s="499"/>
      <c s="499"/>
      <c s="1158">
        <v>0</v>
      </c>
    </row>
    <row r="26" spans="17:53" ht="14.7" customHeight="1">
      <c r="Q26" s="294"/>
      <c s="379"/>
      <c s="1278"/>
      <c s="366"/>
      <c s="366"/>
      <c s="512"/>
      <c s="512"/>
      <c s="512"/>
      <c s="512"/>
      <c s="512"/>
      <c s="512"/>
      <c s="512"/>
      <c s="512"/>
      <c s="512"/>
      <c s="512"/>
      <c s="512"/>
      <c s="512"/>
      <c s="512"/>
      <c s="512"/>
      <c s="512"/>
      <c s="512"/>
      <c s="512"/>
      <c s="512"/>
      <c s="512"/>
      <c s="512"/>
      <c s="512"/>
      <c s="512"/>
      <c s="512"/>
      <c s="512"/>
      <c r="BA26" s="1158">
        <v>14</v>
      </c>
    </row>
    <row r="27" spans="17:53" ht="27.3" customHeight="1">
      <c r="Q27" s="294"/>
      <c s="379"/>
      <c s="2251" t="str">
        <f>IF(TEMPLATE_GROUP="P",PT_P_FORM_HEAT_7_NAME_FORM,PT_R_FORM_HEAT_24_NAME_FORM)</f>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s="2251"/>
      <c s="2251"/>
      <c s="2251"/>
      <c s="2251"/>
      <c s="2251"/>
      <c s="2251"/>
      <c s="2251"/>
      <c s="2251"/>
      <c s="2251"/>
      <c s="2251"/>
      <c s="2251"/>
      <c s="2251"/>
      <c s="2251"/>
      <c s="2251"/>
      <c s="2251"/>
      <c s="2251"/>
      <c s="2251"/>
      <c s="2251"/>
      <c s="2251"/>
      <c s="2251"/>
      <c s="2251"/>
      <c s="2251"/>
      <c s="2251"/>
      <c s="2251"/>
      <c s="2251"/>
      <c s="1246"/>
      <c r="BA27" s="1158">
        <v>26</v>
      </c>
    </row>
    <row r="28" spans="17:53" ht="14.7" customHeight="1">
      <c r="Q28" s="294"/>
      <c s="379"/>
      <c s="2252" t="str">
        <f>IF(org=0,"Не определено",org)</f>
        <v>ГУП КК "Кубаньводкомплекс"</v>
      </c>
      <c s="2252"/>
      <c s="2252"/>
      <c s="2252"/>
      <c s="2252"/>
      <c s="2252"/>
      <c s="2252"/>
      <c s="2252"/>
      <c s="2252"/>
      <c s="2252"/>
      <c s="2252"/>
      <c s="2252"/>
      <c s="2252"/>
      <c s="2252"/>
      <c s="2252"/>
      <c s="2252"/>
      <c s="2252"/>
      <c s="2252"/>
      <c s="2252"/>
      <c s="2252"/>
      <c s="2252"/>
      <c s="2252"/>
      <c s="2252"/>
      <c s="2252"/>
      <c s="2252"/>
      <c s="2252"/>
      <c s="1246"/>
      <c r="BA28" s="1158">
        <v>14</v>
      </c>
    </row>
    <row r="29" spans="17:53" ht="14.25" customHeight="1" hidden="1">
      <c r="Q29" s="294"/>
      <c s="379"/>
      <c s="1278"/>
      <c s="366"/>
      <c s="366"/>
      <c s="325"/>
      <c s="325"/>
      <c s="325"/>
      <c s="325"/>
      <c s="325"/>
      <c s="325"/>
      <c s="325"/>
      <c s="325"/>
      <c s="325"/>
      <c s="325"/>
      <c s="325"/>
      <c s="325"/>
      <c s="325"/>
      <c s="325"/>
      <c s="325"/>
      <c s="325"/>
      <c s="325"/>
      <c s="325"/>
      <c s="325"/>
      <c s="325"/>
      <c s="325"/>
      <c s="325"/>
      <c s="325"/>
      <c s="325"/>
      <c s="512"/>
      <c r="BA29" s="1158">
        <v>0</v>
      </c>
    </row>
    <row r="30" spans="1:53" s="1856" customFormat="1" ht="25.5" customHeight="1" hidden="1">
      <c r="A30" s="1371"/>
      <c s="1371"/>
      <c s="1371"/>
      <c s="1371"/>
      <c s="1371"/>
      <c s="1371"/>
      <c s="1371"/>
      <c s="1371"/>
      <c s="1371"/>
      <c s="1371"/>
      <c s="1371"/>
      <c s="1372"/>
      <c s="1371"/>
      <c s="1371"/>
      <c s="1371"/>
      <c s="1371"/>
      <c s="1371"/>
      <c r="S30" s="2253" t="s">
        <v>42</v>
      </c>
      <c s="2253"/>
      <c s="1375"/>
      <c s="2254" t="str">
        <f>IF(TITLE_NAME_OR_PR_CHANGE="",IF(TITLE_NAME_OR_PR="","",TITLE_NAME_OR_PR),TITLE_NAME_OR_PR_CHANGE)</f>
        <v/>
      </c>
      <c s="2254"/>
      <c s="2254"/>
      <c s="2254"/>
      <c s="2254"/>
      <c s="329"/>
      <c s="2254" t="str">
        <f>IF(TITLE_NAME_OR_PR_CHANGE="",IF(TITLE_NAME_OR_PR="","",TITLE_NAME_OR_PR),TITLE_NAME_OR_PR_CHANGE)</f>
        <v/>
      </c>
      <c s="2254"/>
      <c s="2254"/>
      <c s="2254"/>
      <c s="2254"/>
      <c s="2254"/>
      <c s="2254"/>
      <c s="2254"/>
      <c s="2254"/>
      <c s="2254"/>
      <c s="2254"/>
      <c s="2254"/>
      <c s="2254"/>
      <c s="2254"/>
      <c s="2254"/>
      <c s="2254"/>
      <c s="2254"/>
      <c s="329"/>
      <c s="329"/>
      <c s="283"/>
      <c s="371"/>
      <c s="371"/>
      <c s="371"/>
      <c s="371"/>
      <c s="371"/>
      <c s="421">
        <v>0</v>
      </c>
    </row>
    <row r="31" spans="1:53" s="1856" customFormat="1" ht="18.75" customHeight="1" hidden="1">
      <c r="A31" s="1371"/>
      <c s="1371"/>
      <c s="1371"/>
      <c s="1371"/>
      <c s="1371"/>
      <c s="1371"/>
      <c s="1371"/>
      <c s="1371"/>
      <c s="1371"/>
      <c s="1371"/>
      <c s="1371"/>
      <c s="1372"/>
      <c s="1371"/>
      <c s="1371"/>
      <c s="1371"/>
      <c s="1371"/>
      <c s="1371"/>
      <c r="S31" s="2253" t="s">
        <v>423</v>
      </c>
      <c s="2253"/>
      <c s="1375"/>
      <c s="2267" t="str">
        <f>IF(TITLE_DATE_PR_CHANGE="",IF(TITLE_DATE_PR="","",TITLE_DATE_PR),TITLE_DATE_PR_CHANGE)</f>
        <v/>
      </c>
      <c s="2267"/>
      <c s="2267"/>
      <c s="2267"/>
      <c s="2267"/>
      <c s="329"/>
      <c s="2267" t="str">
        <f>IF(TITLE_DATE_PR_CHANGE="",IF(TITLE_DATE_PR="","",TITLE_DATE_PR),TITLE_DATE_PR_CHANGE)</f>
        <v/>
      </c>
      <c s="2267"/>
      <c s="2267"/>
      <c s="2267"/>
      <c s="2267"/>
      <c s="2267"/>
      <c s="2267"/>
      <c s="2267"/>
      <c s="2267"/>
      <c s="2267"/>
      <c s="2267"/>
      <c s="2267"/>
      <c s="2267"/>
      <c s="2267"/>
      <c s="2267"/>
      <c s="2267"/>
      <c s="2267"/>
      <c s="329"/>
      <c s="329"/>
      <c s="283"/>
      <c s="371"/>
      <c s="371"/>
      <c s="371"/>
      <c s="371"/>
      <c s="371"/>
      <c s="421">
        <v>0</v>
      </c>
    </row>
    <row r="32" spans="1:53" s="1856" customFormat="1" ht="18.75" customHeight="1" hidden="1">
      <c r="A32" s="1371"/>
      <c s="1371"/>
      <c s="1371"/>
      <c s="1371"/>
      <c s="1371"/>
      <c s="1371"/>
      <c s="1371"/>
      <c s="1371"/>
      <c s="1371"/>
      <c s="1371"/>
      <c s="1371"/>
      <c s="1372"/>
      <c s="1371"/>
      <c s="1371"/>
      <c s="1371"/>
      <c s="1371"/>
      <c s="1371"/>
      <c r="S32" s="2253" t="s">
        <v>424</v>
      </c>
      <c s="2253"/>
      <c s="1375"/>
      <c s="2254" t="str">
        <f>IF(TITLE_NUMBER_PR_CHANGE="",IF(TITLE_NUMBER_PR="","",TITLE_NUMBER_PR),TITLE_NUMBER_PR_CHANGE)</f>
        <v/>
      </c>
      <c s="2254"/>
      <c s="2254"/>
      <c s="2254"/>
      <c s="2254"/>
      <c s="329"/>
      <c s="2254" t="str">
        <f>IF(TITLE_NUMBER_PR_CHANGE="",IF(TITLE_NUMBER_PR="","",TITLE_NUMBER_PR),TITLE_NUMBER_PR_CHANGE)</f>
        <v/>
      </c>
      <c s="2254"/>
      <c s="2254"/>
      <c s="2254"/>
      <c s="2254"/>
      <c s="2254"/>
      <c s="2254"/>
      <c s="2254"/>
      <c s="2254"/>
      <c s="2254"/>
      <c s="2254"/>
      <c s="2254"/>
      <c s="2254"/>
      <c s="2254"/>
      <c s="2254"/>
      <c s="2254"/>
      <c s="2254"/>
      <c s="329"/>
      <c s="329"/>
      <c s="283"/>
      <c s="371"/>
      <c s="371"/>
      <c s="371"/>
      <c s="371"/>
      <c s="371"/>
      <c s="421">
        <v>0</v>
      </c>
    </row>
    <row r="33" spans="1:53" s="1856" customFormat="1" ht="18.75" customHeight="1" hidden="1">
      <c r="A33" s="1371"/>
      <c s="1371"/>
      <c s="1371"/>
      <c s="1371"/>
      <c s="1371"/>
      <c s="1371"/>
      <c s="1371"/>
      <c s="1371"/>
      <c s="1371"/>
      <c s="1371"/>
      <c s="1371"/>
      <c s="1372"/>
      <c s="1371"/>
      <c s="1371"/>
      <c s="1371"/>
      <c s="1371"/>
      <c s="1371"/>
      <c r="S33" s="2253" t="s">
        <v>43</v>
      </c>
      <c s="2253"/>
      <c s="1375"/>
      <c s="2254" t="str">
        <f>IF(TITLE_IST_PUB_CHANGE="",IF(TITLE_IST_PUB="","",TITLE_IST_PUB),TITLE_IST_PUB_CHANGE)</f>
        <v/>
      </c>
      <c s="2254"/>
      <c s="2254"/>
      <c s="2254"/>
      <c s="2254"/>
      <c s="329"/>
      <c s="2254" t="str">
        <f>IF(TITLE_IST_PUB_CHANGE="",IF(TITLE_IST_PUB="","",TITLE_IST_PUB),TITLE_IST_PUB_CHANGE)</f>
        <v/>
      </c>
      <c s="2254"/>
      <c s="2254"/>
      <c s="2254"/>
      <c s="2254"/>
      <c s="2254"/>
      <c s="2254"/>
      <c s="2254"/>
      <c s="2254"/>
      <c s="2254"/>
      <c s="2254"/>
      <c s="2254"/>
      <c s="2254"/>
      <c s="2254"/>
      <c s="2254"/>
      <c s="2254"/>
      <c s="2254"/>
      <c s="329"/>
      <c s="329"/>
      <c s="283"/>
      <c s="371"/>
      <c s="371"/>
      <c s="371"/>
      <c s="371"/>
      <c s="371"/>
      <c s="421">
        <v>0</v>
      </c>
    </row>
    <row r="34" spans="17:53" ht="14.25" customHeight="1" hidden="1">
      <c r="Q34" s="294"/>
      <c s="379"/>
      <c s="1278"/>
      <c s="366"/>
      <c s="366"/>
      <c s="325"/>
      <c s="325"/>
      <c s="325"/>
      <c s="325"/>
      <c s="325"/>
      <c s="325"/>
      <c s="325"/>
      <c s="325"/>
      <c s="325"/>
      <c s="325"/>
      <c s="325"/>
      <c s="325"/>
      <c s="325"/>
      <c s="325"/>
      <c s="325"/>
      <c s="325"/>
      <c s="325"/>
      <c s="325"/>
      <c s="325"/>
      <c s="325"/>
      <c s="325"/>
      <c s="325"/>
      <c s="325"/>
      <c s="325"/>
      <c s="512"/>
      <c r="BA34" s="1158">
        <v>0</v>
      </c>
    </row>
    <row r="35" spans="1:53" s="1856" customFormat="1" ht="18.75" customHeight="1" hidden="1">
      <c r="A35" s="1371"/>
      <c s="1371"/>
      <c s="1371"/>
      <c s="1371"/>
      <c s="1371"/>
      <c s="1371"/>
      <c s="1371"/>
      <c s="1371"/>
      <c s="1371"/>
      <c s="1371"/>
      <c s="1371"/>
      <c s="1372"/>
      <c s="1371"/>
      <c s="1371"/>
      <c s="1371"/>
      <c s="1371"/>
      <c s="1371"/>
      <c r="S35" s="2253" t="s">
        <v>423</v>
      </c>
      <c s="2253"/>
      <c s="1375"/>
      <c s="2267" t="str">
        <f>IF(TITLE_DATE_PR_CHANGE="",IF(TITLE_DATE_PR="","",TITLE_DATE_PR),TITLE_DATE_PR_CHANGE)</f>
        <v/>
      </c>
      <c s="2267"/>
      <c s="2267"/>
      <c s="2267"/>
      <c s="2267"/>
      <c s="329"/>
      <c s="2267" t="str">
        <f>IF(TITLE_DATE_PR_CHANGE="",IF(TITLE_DATE_PR="","",TITLE_DATE_PR),TITLE_DATE_PR_CHANGE)</f>
        <v/>
      </c>
      <c s="2267"/>
      <c s="2267"/>
      <c s="2267"/>
      <c s="2267"/>
      <c s="2267"/>
      <c s="2267"/>
      <c s="2267"/>
      <c s="2267"/>
      <c s="2267"/>
      <c s="2267"/>
      <c s="2267"/>
      <c s="2267"/>
      <c s="2267"/>
      <c s="2267"/>
      <c s="2267"/>
      <c s="2267"/>
      <c s="329"/>
      <c s="329"/>
      <c s="283"/>
      <c s="371"/>
      <c s="371"/>
      <c s="371"/>
      <c s="371"/>
      <c s="371"/>
      <c s="421">
        <v>0</v>
      </c>
    </row>
    <row r="36" spans="1:53" s="1856" customFormat="1" ht="18" customHeight="1" hidden="1">
      <c r="A36" s="1371"/>
      <c s="1371"/>
      <c s="1371"/>
      <c s="1371"/>
      <c s="1371"/>
      <c s="1371"/>
      <c s="1371"/>
      <c s="1371"/>
      <c s="1371"/>
      <c s="1371"/>
      <c s="1371"/>
      <c s="1372"/>
      <c s="1371"/>
      <c s="1371"/>
      <c s="1371"/>
      <c s="1371"/>
      <c s="1371"/>
      <c r="S36" s="2253" t="s">
        <v>424</v>
      </c>
      <c s="2253"/>
      <c s="1375"/>
      <c s="2254" t="str">
        <f>IF(TITLE_NUMBER_PR_CHANGE="",IF(TITLE_NUMBER_PR="","",TITLE_NUMBER_PR),TITLE_NUMBER_PR_CHANGE)</f>
        <v/>
      </c>
      <c s="2254"/>
      <c s="2254"/>
      <c s="2254"/>
      <c s="2254"/>
      <c s="329"/>
      <c s="2254" t="str">
        <f>IF(TITLE_NUMBER_PR_CHANGE="",IF(TITLE_NUMBER_PR="","",TITLE_NUMBER_PR),TITLE_NUMBER_PR_CHANGE)</f>
        <v/>
      </c>
      <c s="2254"/>
      <c s="2254"/>
      <c s="2254"/>
      <c s="2254"/>
      <c s="2254"/>
      <c s="2254"/>
      <c s="2254"/>
      <c s="2254"/>
      <c s="2254"/>
      <c s="2254"/>
      <c s="2254"/>
      <c s="2254"/>
      <c s="2254"/>
      <c s="2254"/>
      <c s="2254"/>
      <c s="2254"/>
      <c s="329"/>
      <c s="329"/>
      <c s="283"/>
      <c s="371"/>
      <c s="371"/>
      <c s="371"/>
      <c s="371"/>
      <c s="371"/>
      <c s="421">
        <v>0</v>
      </c>
    </row>
    <row r="37" spans="1:53" s="1856" customFormat="1" ht="1.05" customHeight="1">
      <c r="A37" s="1371"/>
      <c s="1371"/>
      <c s="1371"/>
      <c s="1371"/>
      <c s="1371"/>
      <c s="1371"/>
      <c s="1371"/>
      <c s="1371"/>
      <c s="1371"/>
      <c s="1371"/>
      <c s="1371"/>
      <c s="1372"/>
      <c s="1371"/>
      <c s="1371"/>
      <c s="1371"/>
      <c s="1371"/>
      <c s="1371"/>
      <c r="S37" s="326"/>
      <c s="326"/>
      <c s="1343"/>
      <c s="329"/>
      <c s="329"/>
      <c s="329"/>
      <c s="329"/>
      <c s="329"/>
      <c s="281" t="s">
        <v>427</v>
      </c>
      <c s="329"/>
      <c s="329"/>
      <c s="329"/>
      <c s="329"/>
      <c s="329"/>
      <c s="329"/>
      <c s="329"/>
      <c s="329"/>
      <c s="329"/>
      <c s="329"/>
      <c s="329"/>
      <c s="329"/>
      <c s="329"/>
      <c s="329"/>
      <c s="329"/>
      <c s="329"/>
      <c s="329"/>
      <c s="281" t="s">
        <v>427</v>
      </c>
      <c r="AV37" s="371"/>
      <c s="371"/>
      <c s="371"/>
      <c s="371"/>
      <c s="371"/>
      <c s="421">
        <v>1</v>
      </c>
    </row>
    <row r="38" spans="17:53" ht="14.7" customHeight="1">
      <c r="Q38" s="294"/>
      <c s="379"/>
      <c s="1278"/>
      <c s="366"/>
      <c s="1247"/>
      <c s="2255"/>
      <c s="2255"/>
      <c s="2255"/>
      <c s="2255"/>
      <c s="2255"/>
      <c s="2255"/>
      <c s="2255"/>
      <c s="2255"/>
      <c s="2255"/>
      <c s="2255"/>
      <c s="2255"/>
      <c s="2255"/>
      <c s="2255"/>
      <c s="2255"/>
      <c s="2255"/>
      <c s="2255"/>
      <c s="2255"/>
      <c s="2255"/>
      <c s="2255"/>
      <c s="2255"/>
      <c s="2255"/>
      <c s="2255"/>
      <c s="2255"/>
      <c s="2255"/>
      <c r="BA38" s="1158">
        <v>14</v>
      </c>
    </row>
    <row r="39" spans="17:53" ht="14.7" customHeight="1">
      <c r="Q39" s="294"/>
      <c s="379"/>
      <c s="2130" t="s">
        <v>300</v>
      </c>
      <c s="2130"/>
      <c s="2130"/>
      <c s="2130"/>
      <c s="2130"/>
      <c s="2130"/>
      <c s="2130"/>
      <c s="2130"/>
      <c s="2130"/>
      <c s="2178"/>
      <c s="2178"/>
      <c s="2178"/>
      <c s="2178"/>
      <c s="2130"/>
      <c s="2130"/>
      <c s="2130"/>
      <c s="2130"/>
      <c s="2130"/>
      <c s="2130"/>
      <c s="2130"/>
      <c s="2130"/>
      <c s="2130"/>
      <c s="2130"/>
      <c s="2130"/>
      <c s="2130"/>
      <c s="2130"/>
      <c s="2130"/>
      <c s="2130"/>
      <c s="2130" t="s">
        <v>301</v>
      </c>
      <c r="BA39" s="1158">
        <v>14</v>
      </c>
    </row>
    <row r="40" spans="17:53" ht="14.7" customHeight="1">
      <c r="Q40" s="294"/>
      <c s="379"/>
      <c s="2276" t="s">
        <v>87</v>
      </c>
      <c s="2212" t="s">
        <v>473</v>
      </c>
      <c s="304"/>
      <c s="2278"/>
      <c s="2278"/>
      <c s="2278"/>
      <c s="2278"/>
      <c s="2279"/>
      <c s="2339" t="s">
        <v>430</v>
      </c>
      <c s="2331" t="s">
        <v>474</v>
      </c>
      <c s="2294"/>
      <c s="2294"/>
      <c s="2332"/>
      <c s="2294" t="s">
        <v>475</v>
      </c>
      <c s="2294"/>
      <c s="2294"/>
      <c s="2332"/>
      <c s="2331" t="s">
        <v>476</v>
      </c>
      <c s="2294"/>
      <c s="2294"/>
      <c s="2332"/>
      <c s="2331" t="s">
        <v>429</v>
      </c>
      <c s="2294"/>
      <c s="2278"/>
      <c s="2278"/>
      <c s="2279"/>
      <c s="2280" t="s">
        <v>430</v>
      </c>
      <c s="2283" t="s">
        <v>432</v>
      </c>
      <c s="2130"/>
      <c r="BA40" s="1158">
        <v>14</v>
      </c>
    </row>
    <row r="41" spans="17:53" ht="35.7" customHeight="1">
      <c r="Q41" s="294"/>
      <c s="379"/>
      <c s="2276"/>
      <c s="2212"/>
      <c s="1034"/>
      <c s="2130" t="s">
        <v>477</v>
      </c>
      <c s="2130"/>
      <c s="2297" t="s">
        <v>436</v>
      </c>
      <c s="2316"/>
      <c s="2317"/>
      <c s="2340"/>
      <c s="2333"/>
      <c s="2334"/>
      <c s="2334"/>
      <c s="2335"/>
      <c s="2334"/>
      <c s="2334"/>
      <c s="2334"/>
      <c s="2335"/>
      <c s="2333"/>
      <c s="2334"/>
      <c s="2334"/>
      <c s="2334"/>
      <c s="2130" t="s">
        <v>477</v>
      </c>
      <c s="2130"/>
      <c s="2316" t="s">
        <v>436</v>
      </c>
      <c s="2316"/>
      <c s="2317"/>
      <c s="2281"/>
      <c s="2284"/>
      <c s="2130"/>
      <c r="BA41" s="1158">
        <v>34</v>
      </c>
    </row>
    <row r="42" spans="17:53" ht="14.7" customHeight="1">
      <c r="Q42" s="294"/>
      <c s="379"/>
      <c s="2276"/>
      <c s="2212"/>
      <c s="1034"/>
      <c s="2343" t="str">
        <f>IF($AN$42&lt;&gt;"",$AN$42,"")</f>
        <v/>
      </c>
      <c s="2343"/>
      <c s="2298"/>
      <c s="2318"/>
      <c s="2319"/>
      <c s="2340"/>
      <c s="2333"/>
      <c s="2334"/>
      <c s="2334"/>
      <c s="2335"/>
      <c s="2334"/>
      <c s="2334"/>
      <c s="2334"/>
      <c s="2335"/>
      <c s="2333"/>
      <c s="2334"/>
      <c s="2334"/>
      <c s="2334"/>
      <c s="2342"/>
      <c s="2342"/>
      <c s="2318"/>
      <c s="2318"/>
      <c s="2319"/>
      <c s="2281"/>
      <c s="2284"/>
      <c s="2130"/>
      <c r="BA42" s="1158">
        <v>14</v>
      </c>
    </row>
    <row r="43" spans="1:53" ht="14.7" customHeight="1">
      <c r="A43" s="1373"/>
      <c s="1373" t="s">
        <v>137</v>
      </c>
      <c s="1373" t="s">
        <v>138</v>
      </c>
      <c s="1373" t="s">
        <v>139</v>
      </c>
      <c s="1367" t="s">
        <v>437</v>
      </c>
      <c s="1367" t="s">
        <v>438</v>
      </c>
      <c s="1367" t="s">
        <v>439</v>
      </c>
      <c s="1367" t="s">
        <v>440</v>
      </c>
      <c s="1367" t="s">
        <v>441</v>
      </c>
      <c s="1367" t="s">
        <v>442</v>
      </c>
      <c s="1367" t="s">
        <v>443</v>
      </c>
      <c s="1367" t="s">
        <v>418</v>
      </c>
      <c r="Q43" s="294"/>
      <c s="379"/>
      <c s="2276"/>
      <c s="2212"/>
      <c s="305"/>
      <c s="1333" t="s">
        <v>478</v>
      </c>
      <c s="1333" t="s">
        <v>479</v>
      </c>
      <c s="1341" t="s">
        <v>446</v>
      </c>
      <c s="2273" t="s">
        <v>447</v>
      </c>
      <c s="2274"/>
      <c s="2341"/>
      <c s="2336"/>
      <c s="2337"/>
      <c s="2337"/>
      <c s="2338"/>
      <c s="2337"/>
      <c s="2337"/>
      <c s="2337"/>
      <c s="2338"/>
      <c s="2336"/>
      <c s="2337"/>
      <c s="2337"/>
      <c s="2338"/>
      <c s="1863" t="s">
        <v>478</v>
      </c>
      <c s="1863" t="s">
        <v>479</v>
      </c>
      <c s="1341" t="s">
        <v>446</v>
      </c>
      <c s="2273" t="s">
        <v>447</v>
      </c>
      <c s="2274"/>
      <c s="2282"/>
      <c s="2285"/>
      <c s="2130"/>
      <c r="BA43" s="1158">
        <v>14</v>
      </c>
    </row>
    <row r="44" spans="1:53" s="1644" customFormat="1" ht="11.25" customHeight="1" hidden="1">
      <c r="A44" s="1373"/>
      <c s="1373"/>
      <c s="1373"/>
      <c s="1373"/>
      <c s="1373"/>
      <c s="1373"/>
      <c s="1373"/>
      <c s="1373"/>
      <c s="1373"/>
      <c s="1373"/>
      <c s="1373"/>
      <c s="1367"/>
      <c s="1365"/>
      <c s="1365"/>
      <c s="1365"/>
      <c s="513"/>
      <c s="1257"/>
      <c s="1257">
        <v>1</v>
      </c>
      <c s="1280" t="s">
        <v>109</v>
      </c>
      <c s="1258" t="s">
        <v>110</v>
      </c>
      <c s="1248" t="str">
        <f ca="1">OFFSET(U44,0,-1)</f>
        <v>2</v>
      </c>
      <c s="1338">
        <f ca="1">OFFSET(V44,0,-1)+1</f>
        <v>3</v>
      </c>
      <c s="1338">
        <f ca="1">OFFSET(W44,0,-1)+1</f>
        <v>4</v>
      </c>
      <c s="1338">
        <f ca="1">OFFSET(X44,0,-1)+1</f>
        <v>5</v>
      </c>
      <c s="2275">
        <f ca="1">OFFSET(Y44,0,-1)+1</f>
        <v>6</v>
      </c>
      <c s="2275"/>
      <c s="1338">
        <f ca="1">OFFSET(AA44,0,-2)+1</f>
        <v>7</v>
      </c>
      <c s="1344">
        <f ca="1">OFFSET(AB44,0,-1)+1</f>
        <v>8</v>
      </c>
      <c s="1344"/>
      <c s="1344"/>
      <c s="1344"/>
      <c s="1338"/>
      <c s="1338"/>
      <c s="1338"/>
      <c s="1338"/>
      <c s="1338"/>
      <c s="1338"/>
      <c s="1338"/>
      <c s="1338"/>
      <c s="1338">
        <f ca="1">OFFSET(AN44,0,-1)+1</f>
        <v>1</v>
      </c>
      <c s="1338">
        <f ca="1">OFFSET(AO44,0,-1)+1</f>
        <v>2</v>
      </c>
      <c s="1338">
        <f ca="1">OFFSET(AP44,0,-1)+1</f>
        <v>3</v>
      </c>
      <c s="2275">
        <f ca="1">OFFSET(AQ44,0,-1)+1</f>
        <v>4</v>
      </c>
      <c s="2275"/>
      <c s="1338">
        <f ca="1">OFFSET(AS44,0,-2)+1</f>
        <v>5</v>
      </c>
      <c s="1248">
        <f ca="1">OFFSET(AT44,0,-1)</f>
        <v>5</v>
      </c>
      <c s="1338">
        <f ca="1">OFFSET(AU44,0,-1)+1</f>
        <v>6</v>
      </c>
      <c s="514"/>
      <c s="514"/>
      <c s="514"/>
      <c s="514"/>
      <c s="514"/>
      <c s="499">
        <v>0</v>
      </c>
    </row>
    <row r="45" spans="1:53" ht="107.25" customHeight="1">
      <c r="A45" s="1366" t="s">
        <v>200</v>
      </c>
      <c s="1366"/>
      <c s="1366"/>
      <c s="1366"/>
      <c s="2261">
        <v>1</v>
      </c>
      <c s="1366"/>
      <c s="1366"/>
      <c s="1366"/>
      <c s="1366"/>
      <c s="1366"/>
      <c s="1366"/>
      <c s="1367"/>
      <c s="1368"/>
      <c s="1368"/>
      <c s="1368"/>
      <c s="1412"/>
      <c s="876"/>
      <c s="358"/>
      <c s="1339">
        <f>INDEX(PT_DIFFERENTIATION_NUM_NTAR,MATCH(A45,PT_DIFFERENTIATION_NTAR_ID,0))</f>
        <v>0</v>
      </c>
      <c s="301" t="s">
        <v>125</v>
      </c>
      <c s="303"/>
      <c s="2246"/>
      <c s="2246"/>
      <c s="2246"/>
      <c s="2246"/>
      <c s="2246"/>
      <c s="2247"/>
      <c s="2245" t="str">
        <f>INDEX(PT_DIFFERENTIATION_NTAR,MATCH(A45,PT_DIFFERENTIATION_NTAR_ID,0))</f>
        <v/>
      </c>
      <c s="2246"/>
      <c s="2246"/>
      <c s="2246"/>
      <c s="2246"/>
      <c s="2246"/>
      <c s="2246"/>
      <c s="2246"/>
      <c s="2246"/>
      <c s="2246"/>
      <c s="2246"/>
      <c s="2246"/>
      <c s="2246"/>
      <c s="2246"/>
      <c s="2246"/>
      <c s="2246"/>
      <c s="2246"/>
      <c s="2246"/>
      <c s="2247"/>
      <c s="1261"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
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 Федерального закона "О теплоснабжении", теплоснабжающей организации, теплосетевой организации в ценовых зонах теплоснабжения.
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 порядке - в тыс.руб.; в отношении льготного размера платы за подключение - в руб.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W45" s="503"/>
      <c s="503" t="str">
        <f>IF(T45="","",T45)</f>
        <v>Наименование тарифа</v>
      </c>
      <c s="503"/>
      <c s="503"/>
      <c s="1158">
        <v>102</v>
      </c>
    </row>
    <row r="46" spans="1:53" ht="22.05" customHeight="1">
      <c r="A46" s="1366" t="s">
        <v>200</v>
      </c>
      <c s="1366" t="s">
        <v>201</v>
      </c>
      <c s="1366"/>
      <c s="1366"/>
      <c s="2262"/>
      <c s="2261">
        <v>1</v>
      </c>
      <c s="1366"/>
      <c s="1366"/>
      <c s="1366"/>
      <c s="1366"/>
      <c s="1366"/>
      <c s="1367"/>
      <c s="1368"/>
      <c s="1368"/>
      <c s="1368"/>
      <c s="1413"/>
      <c s="1414"/>
      <c s="356"/>
      <c s="1339" t="str">
        <f>INDEX(PT_DIFFERENTIATION_NUM_TER,MATCH(B46,PT_DIFFERENTIATION_TER_ID,0))</f>
        <v>.</v>
      </c>
      <c s="311" t="s">
        <v>397</v>
      </c>
      <c s="303"/>
      <c s="2246"/>
      <c s="2246"/>
      <c s="2246"/>
      <c s="2246"/>
      <c s="2246"/>
      <c s="2247"/>
      <c s="2245" t="str">
        <f>INDEX(PT_DIFFERENTIATION_TER,MATCH(B46,PT_DIFFERENTIATION_TER_ID,0))</f>
        <v/>
      </c>
      <c s="2246"/>
      <c s="2246"/>
      <c s="2246"/>
      <c s="2246"/>
      <c s="2246"/>
      <c s="2246"/>
      <c s="2246"/>
      <c s="2246"/>
      <c s="2246"/>
      <c s="2246"/>
      <c s="2246"/>
      <c s="2246"/>
      <c s="2246"/>
      <c s="2246"/>
      <c s="2246"/>
      <c s="2246"/>
      <c s="2246"/>
      <c s="2247"/>
      <c s="1261" t="s">
        <v>398</v>
      </c>
      <c r="AW46" s="503"/>
      <c s="503" t="str">
        <f>IF(T46="","",T46)</f>
        <v>Территория действия тарифа</v>
      </c>
      <c s="503"/>
      <c s="503"/>
      <c s="1158">
        <v>21</v>
      </c>
    </row>
    <row r="47" spans="1:53" ht="24" customHeight="1">
      <c r="A47" s="1366" t="s">
        <v>200</v>
      </c>
      <c s="1366" t="s">
        <v>201</v>
      </c>
      <c s="1366" t="s">
        <v>202</v>
      </c>
      <c s="1366"/>
      <c s="2262"/>
      <c s="2262"/>
      <c s="2261">
        <v>1</v>
      </c>
      <c s="1366"/>
      <c s="1366"/>
      <c s="1366"/>
      <c s="1366"/>
      <c s="1367"/>
      <c s="1368"/>
      <c s="1368"/>
      <c s="1368"/>
      <c s="1415"/>
      <c s="1414"/>
      <c s="356"/>
      <c s="1339" t="str">
        <f>INDEX(PT_DIFFERENTIATION_NUM_CS,MATCH(C47,PT_DIFFERENTIATION_CS_ID,0))</f>
        <v>..</v>
      </c>
      <c s="312" t="s">
        <v>399</v>
      </c>
      <c s="303"/>
      <c s="2246"/>
      <c s="2246"/>
      <c s="2246"/>
      <c s="2246"/>
      <c s="2246"/>
      <c s="2247"/>
      <c s="2245" t="str">
        <f>INDEX(PT_DIFFERENTIATION_CS,MATCH(C47,PT_DIFFERENTIATION_CS_ID,0))</f>
        <v/>
      </c>
      <c s="2246"/>
      <c s="2246"/>
      <c s="2246"/>
      <c s="2246"/>
      <c s="2246"/>
      <c s="2246"/>
      <c s="2246"/>
      <c s="2246"/>
      <c s="2246"/>
      <c s="2246"/>
      <c s="2246"/>
      <c s="2246"/>
      <c s="2246"/>
      <c s="2246"/>
      <c s="2246"/>
      <c s="2246"/>
      <c s="2246"/>
      <c s="2247"/>
      <c s="1261" t="s">
        <v>400</v>
      </c>
      <c r="AW47" s="503"/>
      <c s="503" t="str">
        <f>IF(T47="","",T47)</f>
        <v>Наименование системы теплоснабжения</v>
      </c>
      <c s="503"/>
      <c s="503"/>
      <c s="1158">
        <v>23</v>
      </c>
    </row>
    <row r="48" spans="1:53" ht="21" customHeight="1">
      <c r="A48" s="1366" t="s">
        <v>200</v>
      </c>
      <c s="1366" t="s">
        <v>201</v>
      </c>
      <c s="1366" t="s">
        <v>202</v>
      </c>
      <c s="1366" t="s">
        <v>203</v>
      </c>
      <c s="2262"/>
      <c s="2262"/>
      <c s="2262"/>
      <c s="2261">
        <v>1</v>
      </c>
      <c s="1366"/>
      <c s="1366"/>
      <c s="1366"/>
      <c s="1367"/>
      <c s="1368"/>
      <c s="1368"/>
      <c s="1368"/>
      <c s="1415"/>
      <c s="1414"/>
      <c s="356"/>
      <c s="1339" t="str">
        <f>INDEX(PT_DIFFERENTIATION_NUM_IST_TE,MATCH(D48,PT_DIFFERENTIATION_IST_TE_ID,0))</f>
        <v>...</v>
      </c>
      <c s="313" t="s">
        <v>401</v>
      </c>
      <c s="303"/>
      <c s="2246"/>
      <c s="2246"/>
      <c s="2246"/>
      <c s="2246"/>
      <c s="2246"/>
      <c s="2247"/>
      <c s="2245" t="str">
        <f>INDEX(PT_DIFFERENTIATION_IST_TE,MATCH(D48,PT_DIFFERENTIATION_IST_TE_ID,0))</f>
        <v/>
      </c>
      <c s="2246"/>
      <c s="2246"/>
      <c s="2246"/>
      <c s="2246"/>
      <c s="2246"/>
      <c s="2246"/>
      <c s="2246"/>
      <c s="2246"/>
      <c s="2246"/>
      <c s="2246"/>
      <c s="2246"/>
      <c s="2246"/>
      <c s="2246"/>
      <c s="2246"/>
      <c s="2246"/>
      <c s="2246"/>
      <c s="2246"/>
      <c s="2247"/>
      <c s="1261" t="s">
        <v>402</v>
      </c>
      <c r="AW48" s="503"/>
      <c s="503" t="str">
        <f>IF(T48="","",T48)</f>
        <v>Источник тепловой энергии</v>
      </c>
      <c s="503"/>
      <c s="503"/>
      <c s="1158">
        <v>20</v>
      </c>
    </row>
    <row r="49" spans="1:53" s="1645" customFormat="1" ht="1.05" customHeight="1">
      <c r="A49" s="1346" t="s">
        <v>200</v>
      </c>
      <c s="1346" t="s">
        <v>201</v>
      </c>
      <c s="1346" t="s">
        <v>202</v>
      </c>
      <c s="1346" t="s">
        <v>203</v>
      </c>
      <c s="2262"/>
      <c s="2262"/>
      <c s="2262"/>
      <c s="2262"/>
      <c s="2259" t="str">
        <f>S48&amp;".1"</f>
        <v>....1</v>
      </c>
      <c s="1346"/>
      <c s="1346"/>
      <c s="1349" t="s">
        <v>403</v>
      </c>
      <c s="513"/>
      <c s="513"/>
      <c s="513"/>
      <c s="2260">
        <v>1</v>
      </c>
      <c s="1334"/>
      <c s="359"/>
      <c s="1045"/>
      <c s="1386"/>
      <c s="1387"/>
      <c s="2300"/>
      <c s="2300"/>
      <c s="2300"/>
      <c s="2300"/>
      <c s="2300"/>
      <c s="2301"/>
      <c s="2299"/>
      <c s="2300"/>
      <c s="2300"/>
      <c s="2300"/>
      <c s="2300"/>
      <c s="2300"/>
      <c s="2300"/>
      <c s="2300"/>
      <c s="2300"/>
      <c s="2300"/>
      <c s="2300"/>
      <c s="2300"/>
      <c s="2300"/>
      <c s="2300"/>
      <c s="2300"/>
      <c s="2300"/>
      <c s="2300"/>
      <c s="2300"/>
      <c s="2301"/>
      <c s="1388"/>
      <c r="AW49" s="503"/>
      <c s="503" t="str">
        <f>IF(T49="","",T49)</f>
        <v/>
      </c>
      <c s="503"/>
      <c s="503"/>
      <c s="514">
        <v>1</v>
      </c>
    </row>
    <row r="50" spans="1:53" s="1645" customFormat="1" ht="1.05" customHeight="1">
      <c r="A50" s="1346" t="s">
        <v>200</v>
      </c>
      <c s="1346" t="s">
        <v>201</v>
      </c>
      <c s="1346" t="s">
        <v>202</v>
      </c>
      <c s="1346" t="s">
        <v>203</v>
      </c>
      <c s="2262"/>
      <c s="2262"/>
      <c s="2262"/>
      <c s="2262"/>
      <c s="2289"/>
      <c s="2259" t="str">
        <f>S48&amp;".1"</f>
        <v>....1</v>
      </c>
      <c s="1346"/>
      <c s="1349"/>
      <c s="513"/>
      <c s="513"/>
      <c s="513"/>
      <c s="2260"/>
      <c s="2260">
        <v>1</v>
      </c>
      <c s="360"/>
      <c s="1045"/>
      <c s="1402"/>
      <c s="1387"/>
      <c s="2300"/>
      <c s="2300"/>
      <c s="2300"/>
      <c s="2300"/>
      <c s="2300"/>
      <c s="2301"/>
      <c s="2299"/>
      <c s="2300"/>
      <c s="2300"/>
      <c s="2300"/>
      <c s="2300"/>
      <c s="2300"/>
      <c s="2300"/>
      <c s="2300"/>
      <c s="2300"/>
      <c s="2300"/>
      <c s="2300"/>
      <c s="2300"/>
      <c s="2300"/>
      <c s="2300"/>
      <c s="2300"/>
      <c s="2300"/>
      <c s="2300"/>
      <c s="2300"/>
      <c s="2301"/>
      <c s="1388"/>
      <c r="AW50" s="503"/>
      <c s="503" t="str">
        <f>IF(T50="","",T50)</f>
        <v/>
      </c>
      <c s="503"/>
      <c s="503"/>
      <c s="514">
        <v>1</v>
      </c>
    </row>
    <row r="51" spans="1:53" ht="22.05" customHeight="1">
      <c r="A51" s="1366" t="s">
        <v>200</v>
      </c>
      <c s="1366" t="s">
        <v>201</v>
      </c>
      <c s="1366" t="s">
        <v>202</v>
      </c>
      <c s="1366" t="s">
        <v>203</v>
      </c>
      <c s="2262"/>
      <c s="2262"/>
      <c s="2262"/>
      <c s="2262"/>
      <c s="2289"/>
      <c s="2289"/>
      <c s="2259" t="str">
        <f>S48&amp;".1"</f>
        <v>....1</v>
      </c>
      <c s="1367"/>
      <c r="P51" s="2260"/>
      <c s="2260"/>
      <c s="360">
        <v>1</v>
      </c>
      <c s="2344" t="str">
        <f>$K51</f>
        <v>....1</v>
      </c>
      <c s="2347"/>
      <c s="303"/>
      <c s="754"/>
      <c s="1260"/>
      <c s="1737"/>
      <c s="1462" t="s">
        <v>65</v>
      </c>
      <c s="1737"/>
      <c s="1462" t="s">
        <v>65</v>
      </c>
      <c s="2110" t="s">
        <v>19</v>
      </c>
      <c s="2329"/>
      <c s="2208">
        <v>1</v>
      </c>
      <c s="2351" t="s">
        <v>22</v>
      </c>
      <c s="2110" t="s">
        <v>19</v>
      </c>
      <c s="2329"/>
      <c s="2208">
        <v>1</v>
      </c>
      <c s="2351" t="s">
        <v>22</v>
      </c>
      <c s="2110" t="s">
        <v>19</v>
      </c>
      <c s="314"/>
      <c s="1340">
        <v>1</v>
      </c>
      <c s="1405"/>
      <c s="754"/>
      <c s="1260"/>
      <c s="1737"/>
      <c s="1462" t="s">
        <v>65</v>
      </c>
      <c s="1737"/>
      <c s="1462" t="s">
        <v>65</v>
      </c>
      <c s="1351"/>
      <c s="2256" t="s">
        <v>480</v>
      </c>
      <c s="514">
        <f>STRCHECKDATE(V54:AT54)</f>
      </c>
      <c s="503"/>
      <c s="503" t="str">
        <f>IF(T51="","",T51)</f>
        <v/>
      </c>
      <c s="503"/>
      <c s="503"/>
      <c s="1158">
        <v>21</v>
      </c>
    </row>
    <row r="52" spans="1:53" ht="11.55" customHeight="1">
      <c r="A52" s="1366" t="s">
        <v>200</v>
      </c>
      <c s="1366"/>
      <c s="1366"/>
      <c s="1366"/>
      <c s="2262"/>
      <c s="2262"/>
      <c s="2262"/>
      <c s="2262"/>
      <c s="2289"/>
      <c s="2289"/>
      <c s="2259"/>
      <c s="1367"/>
      <c r="P52" s="2260"/>
      <c s="2260"/>
      <c s="360"/>
      <c s="2345"/>
      <c s="2348"/>
      <c s="303"/>
      <c s="1396"/>
      <c s="1499"/>
      <c s="1396"/>
      <c s="1396"/>
      <c s="1396"/>
      <c s="1396"/>
      <c s="2110"/>
      <c s="2329"/>
      <c s="2208"/>
      <c s="2351"/>
      <c s="2110"/>
      <c s="2329"/>
      <c s="2208"/>
      <c s="2351"/>
      <c s="2110"/>
      <c s="319"/>
      <c s="419"/>
      <c s="418" t="s">
        <v>465</v>
      </c>
      <c s="1396"/>
      <c s="1499"/>
      <c s="1396"/>
      <c s="1396"/>
      <c s="1396"/>
      <c s="1396"/>
      <c s="1393"/>
      <c s="2257"/>
      <c r="AW52" s="503"/>
      <c s="503"/>
      <c s="503"/>
      <c s="503"/>
      <c s="1158">
        <v>11</v>
      </c>
    </row>
    <row r="53" spans="1:53" ht="11.55" customHeight="1">
      <c r="A53" s="1366" t="s">
        <v>200</v>
      </c>
      <c s="1366"/>
      <c s="1366"/>
      <c s="1366"/>
      <c s="2262"/>
      <c s="2262"/>
      <c s="2262"/>
      <c s="2262"/>
      <c s="2289"/>
      <c s="2289"/>
      <c s="2259"/>
      <c s="1367"/>
      <c r="P53" s="2260"/>
      <c s="2260"/>
      <c s="360"/>
      <c s="2345"/>
      <c s="2348"/>
      <c s="303"/>
      <c s="1396"/>
      <c s="1499"/>
      <c s="1396"/>
      <c s="1396"/>
      <c s="1396"/>
      <c s="1396"/>
      <c s="2110"/>
      <c s="2329"/>
      <c s="2208"/>
      <c s="2351"/>
      <c s="2110"/>
      <c s="297"/>
      <c s="418"/>
      <c s="418" t="s">
        <v>466</v>
      </c>
      <c s="1396"/>
      <c s="1396"/>
      <c s="1396"/>
      <c s="1396"/>
      <c s="1396"/>
      <c s="1499"/>
      <c s="1396"/>
      <c s="1396"/>
      <c s="1396"/>
      <c s="1396"/>
      <c s="1393"/>
      <c s="2257"/>
      <c r="AW53" s="503"/>
      <c s="503"/>
      <c s="503"/>
      <c s="503"/>
      <c s="1158">
        <v>11</v>
      </c>
    </row>
    <row r="54" spans="1:53" ht="11.55" customHeight="1">
      <c r="A54" s="1366" t="s">
        <v>200</v>
      </c>
      <c s="1366" t="s">
        <v>201</v>
      </c>
      <c s="1366" t="s">
        <v>202</v>
      </c>
      <c s="1366" t="s">
        <v>203</v>
      </c>
      <c s="2262"/>
      <c s="2262"/>
      <c s="2262"/>
      <c s="2262"/>
      <c s="2289"/>
      <c s="2289"/>
      <c s="2259"/>
      <c s="1367"/>
      <c r="P54" s="2260"/>
      <c s="2260"/>
      <c s="360"/>
      <c s="2346"/>
      <c s="2349"/>
      <c s="303"/>
      <c s="1396"/>
      <c s="1397" t="str">
        <f>X51&amp;"-"&amp;Z51</f>
        <v>-</v>
      </c>
      <c s="1396"/>
      <c s="1396"/>
      <c s="1396"/>
      <c s="1396"/>
      <c s="2110"/>
      <c s="315"/>
      <c s="317"/>
      <c s="418" t="s">
        <v>467</v>
      </c>
      <c s="1396"/>
      <c s="1396"/>
      <c s="1396"/>
      <c s="1396"/>
      <c s="1396"/>
      <c s="1396"/>
      <c s="1396"/>
      <c s="1396"/>
      <c s="1396"/>
      <c s="1397" t="str">
        <f>AP51&amp;"-"&amp;AR51</f>
        <v>-</v>
      </c>
      <c s="1396"/>
      <c s="1396"/>
      <c s="1396"/>
      <c s="1396"/>
      <c s="1352"/>
      <c s="2257"/>
      <c r="AW54" s="503"/>
      <c s="503" t="str">
        <f>IF(T54="","",T54)</f>
        <v/>
      </c>
      <c s="503"/>
      <c s="503"/>
      <c s="1158">
        <v>11</v>
      </c>
    </row>
    <row r="55" spans="1:53" ht="11.55" customHeight="1">
      <c r="A55" s="1366" t="s">
        <v>200</v>
      </c>
      <c s="1366" t="s">
        <v>201</v>
      </c>
      <c s="1366" t="s">
        <v>202</v>
      </c>
      <c s="1366" t="s">
        <v>203</v>
      </c>
      <c s="2262"/>
      <c s="2262"/>
      <c s="2262"/>
      <c s="2262"/>
      <c s="2289"/>
      <c s="2259"/>
      <c s="1366"/>
      <c s="1367"/>
      <c r="P55" s="2260"/>
      <c s="2260"/>
      <c s="359"/>
      <c s="1281"/>
      <c s="290" t="s">
        <v>468</v>
      </c>
      <c s="370"/>
      <c s="370"/>
      <c s="370"/>
      <c s="370"/>
      <c s="370"/>
      <c s="370"/>
      <c s="327"/>
      <c s="1508"/>
      <c s="370"/>
      <c s="370"/>
      <c s="370"/>
      <c s="370"/>
      <c s="370"/>
      <c s="370"/>
      <c s="370"/>
      <c s="370"/>
      <c s="370"/>
      <c s="370"/>
      <c s="370"/>
      <c s="370"/>
      <c s="370"/>
      <c s="370"/>
      <c s="370"/>
      <c s="370"/>
      <c s="370"/>
      <c s="327"/>
      <c s="2258"/>
      <c r="AW55" s="503"/>
      <c s="503" t="str">
        <f>IF(T55="","",T55)</f>
        <v>Добавить строку</v>
      </c>
      <c s="503"/>
      <c s="503"/>
      <c s="1158">
        <v>11</v>
      </c>
    </row>
    <row r="56" spans="1:53" s="1645" customFormat="1" ht="1.05" customHeight="1">
      <c r="A56" s="1346" t="s">
        <v>200</v>
      </c>
      <c s="1346" t="s">
        <v>201</v>
      </c>
      <c s="1346" t="s">
        <v>202</v>
      </c>
      <c s="1346" t="s">
        <v>203</v>
      </c>
      <c s="2262"/>
      <c s="2262"/>
      <c s="2262"/>
      <c s="2262"/>
      <c s="2259"/>
      <c s="1346"/>
      <c s="1346"/>
      <c s="1349"/>
      <c s="513"/>
      <c s="513"/>
      <c s="513"/>
      <c s="2260"/>
      <c s="1334"/>
      <c s="359"/>
      <c s="1389"/>
      <c s="1390" t="s">
        <v>412</v>
      </c>
      <c s="1391"/>
      <c s="1391"/>
      <c s="1391"/>
      <c s="1391"/>
      <c s="1391"/>
      <c s="1391"/>
      <c s="1391"/>
      <c s="1391"/>
      <c s="1391"/>
      <c s="1391"/>
      <c s="1391"/>
      <c s="1391"/>
      <c s="1391"/>
      <c s="1391"/>
      <c s="1391"/>
      <c s="1391"/>
      <c s="1391"/>
      <c s="1391"/>
      <c s="1391"/>
      <c s="1391"/>
      <c s="1391"/>
      <c s="1391"/>
      <c s="1391"/>
      <c s="1391"/>
      <c s="1391"/>
      <c s="1391"/>
      <c s="1392"/>
      <c r="AW56" s="503"/>
      <c s="503" t="str">
        <f>IF(T56="","",T56)</f>
        <v>Добавить группу потребителей</v>
      </c>
      <c s="503"/>
      <c s="503"/>
      <c s="514">
        <v>1</v>
      </c>
    </row>
    <row r="57" spans="1:53" s="1644" customFormat="1" ht="1.05" customHeight="1">
      <c r="A57" s="1346" t="s">
        <v>200</v>
      </c>
      <c s="1346" t="s">
        <v>201</v>
      </c>
      <c s="1346" t="s">
        <v>202</v>
      </c>
      <c s="1346" t="s">
        <v>203</v>
      </c>
      <c s="2262"/>
      <c s="2262"/>
      <c s="2262"/>
      <c s="2261"/>
      <c s="1346"/>
      <c s="1346"/>
      <c s="1346"/>
      <c s="1349"/>
      <c s="1318"/>
      <c s="1318"/>
      <c s="521"/>
      <c s="383"/>
      <c s="1347"/>
      <c s="1403"/>
      <c s="1389"/>
      <c s="1390"/>
      <c s="1391"/>
      <c s="1391"/>
      <c s="1391"/>
      <c s="1391"/>
      <c s="1391"/>
      <c s="1391"/>
      <c s="1391"/>
      <c s="1391"/>
      <c s="1391"/>
      <c s="1391"/>
      <c s="1391"/>
      <c s="1391"/>
      <c s="1391"/>
      <c s="1391"/>
      <c s="1391"/>
      <c s="1391"/>
      <c s="1391"/>
      <c s="1391"/>
      <c s="1391"/>
      <c s="1391"/>
      <c s="1391"/>
      <c s="1391"/>
      <c s="1391"/>
      <c s="1391"/>
      <c s="1391"/>
      <c s="1391"/>
      <c s="1392"/>
      <c s="514"/>
      <c s="503"/>
      <c s="503" t="str">
        <f>IF(T57="","",T57)</f>
        <v/>
      </c>
      <c s="503"/>
      <c s="503"/>
      <c s="499">
        <v>1</v>
      </c>
    </row>
    <row r="58" spans="1:53" s="1645" customFormat="1" ht="1.05" customHeight="1">
      <c r="A58" s="1346" t="s">
        <v>200</v>
      </c>
      <c s="1346" t="s">
        <v>201</v>
      </c>
      <c s="1346" t="s">
        <v>202</v>
      </c>
      <c s="1317"/>
      <c s="2262"/>
      <c s="2262"/>
      <c s="2261"/>
      <c s="1317"/>
      <c s="1317"/>
      <c s="1317"/>
      <c s="1317"/>
      <c s="1342"/>
      <c s="1318"/>
      <c s="1318"/>
      <c r="P58" s="1319"/>
      <c s="1320"/>
      <c s="1319"/>
      <c s="1325"/>
      <c s="1328" t="s">
        <v>414</v>
      </c>
      <c s="1327"/>
      <c s="1327"/>
      <c s="1327"/>
      <c s="1327"/>
      <c s="1327"/>
      <c s="1327"/>
      <c s="1327"/>
      <c s="1327"/>
      <c s="1327"/>
      <c s="1327"/>
      <c s="1327"/>
      <c s="1327"/>
      <c s="1327"/>
      <c s="1327"/>
      <c s="1327"/>
      <c s="1327"/>
      <c s="1327"/>
      <c s="1327"/>
      <c s="1327"/>
      <c s="1327"/>
      <c s="1327"/>
      <c s="1327"/>
      <c s="1327"/>
      <c s="1327"/>
      <c s="1327"/>
      <c s="1327"/>
      <c s="1327"/>
      <c r="AW58" s="792"/>
      <c s="792" t="str">
        <f>IF(T58="","",T58)</f>
        <v>Добавить источник для дифференциации</v>
      </c>
      <c s="792"/>
      <c s="792"/>
      <c s="521">
        <v>1</v>
      </c>
    </row>
    <row r="59" spans="1:53" s="1645" customFormat="1" ht="1.05" customHeight="1">
      <c r="A59" s="1346" t="s">
        <v>200</v>
      </c>
      <c s="1346" t="s">
        <v>201</v>
      </c>
      <c s="1317"/>
      <c s="1317"/>
      <c s="2262"/>
      <c s="2261"/>
      <c s="1317"/>
      <c s="1317"/>
      <c s="1317"/>
      <c s="1317"/>
      <c s="1317"/>
      <c s="1342"/>
      <c s="1324"/>
      <c s="1324"/>
      <c r="P59" s="1319"/>
      <c s="1320"/>
      <c s="1319"/>
      <c s="1325"/>
      <c s="1328" t="s">
        <v>415</v>
      </c>
      <c s="1327"/>
      <c s="1327"/>
      <c s="1327"/>
      <c s="1327"/>
      <c s="1327"/>
      <c s="1327"/>
      <c s="1327"/>
      <c s="1327"/>
      <c s="1327"/>
      <c s="1327"/>
      <c s="1327"/>
      <c s="1327"/>
      <c s="1327"/>
      <c s="1327"/>
      <c s="1327"/>
      <c s="1327"/>
      <c s="1327"/>
      <c s="1327"/>
      <c s="1327"/>
      <c s="1327"/>
      <c s="1327"/>
      <c s="1327"/>
      <c s="1327"/>
      <c s="1327"/>
      <c s="1327"/>
      <c s="1327"/>
      <c s="1327"/>
      <c r="AW59" s="792"/>
      <c s="792" t="str">
        <f>IF(T59="","",T59)</f>
        <v>Добавить централизованную систему для дифференциации</v>
      </c>
      <c s="792"/>
      <c s="792"/>
      <c s="521">
        <v>1</v>
      </c>
    </row>
    <row r="60" spans="1:53" s="1645" customFormat="1" ht="1.05" customHeight="1">
      <c r="A60" s="1346" t="s">
        <v>200</v>
      </c>
      <c s="1346"/>
      <c s="1346"/>
      <c s="1346"/>
      <c s="2262"/>
      <c s="1346"/>
      <c s="1346"/>
      <c s="1346"/>
      <c s="1346"/>
      <c s="1346"/>
      <c s="1346"/>
      <c s="1349"/>
      <c s="1324"/>
      <c s="1324"/>
      <c s="521"/>
      <c s="383"/>
      <c s="1347"/>
      <c s="383"/>
      <c s="1325"/>
      <c s="1328" t="s">
        <v>416</v>
      </c>
      <c s="1327"/>
      <c s="1327"/>
      <c s="1327"/>
      <c s="1327"/>
      <c s="1327"/>
      <c s="1327"/>
      <c s="1327"/>
      <c s="1327"/>
      <c s="1327"/>
      <c s="1327"/>
      <c s="1327"/>
      <c s="1327"/>
      <c s="1327"/>
      <c s="1327"/>
      <c s="1327"/>
      <c s="1327"/>
      <c s="1327"/>
      <c s="1327"/>
      <c s="1327"/>
      <c s="1327"/>
      <c s="1327"/>
      <c s="1327"/>
      <c s="1327"/>
      <c s="1327"/>
      <c s="1327"/>
      <c s="1327"/>
      <c s="1327"/>
      <c r="AW60" s="503"/>
      <c s="503" t="str">
        <f>IF(T60="","",T60)</f>
        <v>Добавить территорию для дифференциации</v>
      </c>
      <c s="503"/>
      <c s="503"/>
      <c s="514">
        <v>1</v>
      </c>
    </row>
    <row r="61" spans="1:53" s="1645" customFormat="1" ht="1.05" customHeight="1">
      <c r="A61" s="1346" t="s">
        <v>200</v>
      </c>
      <c s="1346"/>
      <c s="1346"/>
      <c s="1346"/>
      <c s="2261"/>
      <c s="1346"/>
      <c s="1346"/>
      <c s="1346"/>
      <c s="1346"/>
      <c s="1346"/>
      <c s="1346"/>
      <c s="1349"/>
      <c s="1324"/>
      <c s="1324"/>
      <c s="521"/>
      <c s="383"/>
      <c s="1347"/>
      <c s="383"/>
      <c s="1325"/>
      <c s="1328" t="s">
        <v>416</v>
      </c>
      <c s="1327"/>
      <c s="1327"/>
      <c s="1327"/>
      <c s="1327"/>
      <c s="1327"/>
      <c s="1327"/>
      <c s="1327"/>
      <c s="1327"/>
      <c s="1327"/>
      <c s="1327"/>
      <c s="1327"/>
      <c s="1327"/>
      <c s="1327"/>
      <c s="1327"/>
      <c s="1327"/>
      <c s="1327"/>
      <c s="1327"/>
      <c s="1327"/>
      <c s="1327"/>
      <c s="1327"/>
      <c s="1327"/>
      <c s="1327"/>
      <c s="1327"/>
      <c s="1327"/>
      <c s="1327"/>
      <c s="1327"/>
      <c s="1327"/>
      <c r="AW61" s="503"/>
      <c s="503" t="str">
        <f>IF(T61="","",T61)</f>
        <v>Добавить территорию для дифференциации</v>
      </c>
      <c s="503"/>
      <c s="503"/>
      <c s="514">
        <v>1</v>
      </c>
    </row>
    <row r="62" spans="1:53" s="1645" customFormat="1" ht="1.05" customHeight="1">
      <c r="A62" s="1317"/>
      <c s="1317"/>
      <c s="1317"/>
      <c s="1317"/>
      <c s="1346"/>
      <c s="1317"/>
      <c s="1317"/>
      <c s="1317"/>
      <c s="1317"/>
      <c s="1317"/>
      <c s="1317"/>
      <c s="1342"/>
      <c s="1324"/>
      <c s="1324"/>
      <c r="P62" s="1319"/>
      <c s="1320"/>
      <c s="1319"/>
      <c s="1325"/>
      <c s="1328" t="s">
        <v>448</v>
      </c>
      <c s="1327"/>
      <c s="1327"/>
      <c s="1327"/>
      <c s="1327"/>
      <c s="1327"/>
      <c s="1327"/>
      <c s="1327"/>
      <c s="1327"/>
      <c s="1327"/>
      <c s="1327"/>
      <c s="1327"/>
      <c s="1327"/>
      <c s="1327"/>
      <c s="1327"/>
      <c s="1327"/>
      <c s="1327"/>
      <c s="1327"/>
      <c s="1327"/>
      <c s="1327"/>
      <c s="1327"/>
      <c s="1327"/>
      <c s="1327"/>
      <c s="1327"/>
      <c s="1327"/>
      <c s="1327"/>
      <c s="1327"/>
      <c s="1327"/>
      <c r="AW62" s="792"/>
      <c s="792" t="str">
        <f>IF(T62="","",T62)</f>
        <v>Добавить наименование тарифа</v>
      </c>
      <c s="792"/>
      <c s="792"/>
      <c s="521">
        <v>1</v>
      </c>
    </row>
    <row r="63" spans="13:53" ht="11.55" customHeight="1">
      <c r="M63" s="1163"/>
      <c s="1163"/>
      <c s="540"/>
      <c s="1163"/>
      <c s="1163"/>
      <c s="1158"/>
      <c s="1158"/>
      <c r="AV63" s="1158"/>
      <c s="1158"/>
      <c s="1158"/>
      <c s="1158"/>
      <c s="1158"/>
      <c s="1158">
        <v>11</v>
      </c>
    </row>
    <row r="64" spans="15:53" ht="19.95" customHeight="1">
      <c r="O64" s="540"/>
      <c r="S64" s="1256"/>
      <c s="2288"/>
      <c s="2288"/>
      <c s="2288"/>
      <c s="2288"/>
      <c s="2288"/>
      <c s="2288"/>
      <c s="2288"/>
      <c s="2288"/>
      <c s="2288"/>
      <c s="2288"/>
      <c s="2288"/>
      <c s="2288"/>
      <c s="2288"/>
      <c s="2288"/>
      <c s="2288"/>
      <c s="2288"/>
      <c s="2288"/>
      <c s="2288"/>
      <c s="2288"/>
      <c s="2288"/>
      <c s="2288"/>
      <c s="2288"/>
      <c s="2288"/>
      <c s="2288"/>
      <c s="2288"/>
      <c s="2288"/>
      <c s="2288"/>
      <c s="2288"/>
      <c r="BA64" s="1158">
        <v>19</v>
      </c>
    </row>
    <row r="65" spans="15:53" ht="21" customHeight="1">
      <c r="O65" s="540"/>
      <c r="T65" s="2288"/>
      <c s="2288"/>
      <c s="2288"/>
      <c s="2288"/>
      <c s="2288"/>
      <c s="2288"/>
      <c s="2288"/>
      <c s="2288"/>
      <c s="2288"/>
      <c s="2288"/>
      <c s="2288"/>
      <c s="2288"/>
      <c s="2288"/>
      <c s="2288"/>
      <c s="2288"/>
      <c s="2288"/>
      <c s="2288"/>
      <c s="2288"/>
      <c s="2288"/>
      <c s="2288"/>
      <c s="2288"/>
      <c s="2288"/>
      <c s="2288"/>
      <c s="2288"/>
      <c s="2288"/>
      <c s="2288"/>
      <c s="2288"/>
      <c s="2288"/>
      <c r="BA65" s="1158">
        <v>20</v>
      </c>
    </row>
    <row r="66" spans="15:53" ht="14.7" customHeight="1">
      <c r="O66" s="540"/>
      <c r="T66" s="1336"/>
      <c s="1336"/>
      <c s="1336"/>
      <c s="1336"/>
      <c s="1336"/>
      <c s="1336"/>
      <c s="1336"/>
      <c s="1336"/>
      <c s="1336"/>
      <c s="1336"/>
      <c s="1336"/>
      <c s="1336"/>
      <c s="1336"/>
      <c s="1336"/>
      <c s="1336"/>
      <c s="1336"/>
      <c s="1336"/>
      <c s="1336"/>
      <c s="1336"/>
      <c s="1336"/>
      <c s="1336"/>
      <c s="1336"/>
      <c s="1336"/>
      <c s="1336"/>
      <c s="1336"/>
      <c s="1336"/>
      <c s="1336"/>
      <c s="1336"/>
      <c r="BA66" s="1158">
        <v>14</v>
      </c>
    </row>
    <row r="67" spans="15:53" ht="19.95" customHeight="1">
      <c r="O67" s="540"/>
      <c r="T67" s="2288"/>
      <c s="2288"/>
      <c s="2288"/>
      <c s="2288"/>
      <c s="2288"/>
      <c s="2288"/>
      <c s="2288"/>
      <c s="2288"/>
      <c s="2288"/>
      <c s="2288"/>
      <c s="2288"/>
      <c s="2288"/>
      <c s="2288"/>
      <c s="2288"/>
      <c s="2288"/>
      <c s="2288"/>
      <c s="2288"/>
      <c s="2288"/>
      <c s="2288"/>
      <c s="2288"/>
      <c s="2288"/>
      <c s="2288"/>
      <c s="2288"/>
      <c s="2288"/>
      <c s="2288"/>
      <c s="2288"/>
      <c s="2288"/>
      <c s="2288"/>
      <c r="BA67" s="1158">
        <v>19</v>
      </c>
    </row>
    <row r="68" spans="15:53" ht="16.8" customHeight="1">
      <c r="O68" s="540"/>
      <c r="T68" s="2288"/>
      <c s="2288"/>
      <c s="2288"/>
      <c s="2288"/>
      <c s="2288"/>
      <c s="2288"/>
      <c s="2288"/>
      <c s="2288"/>
      <c s="2288"/>
      <c s="2288"/>
      <c s="2288"/>
      <c s="2288"/>
      <c s="2288"/>
      <c s="2288"/>
      <c s="2288"/>
      <c s="2288"/>
      <c s="2288"/>
      <c s="2288"/>
      <c s="2288"/>
      <c s="2288"/>
      <c s="2288"/>
      <c s="2288"/>
      <c s="2288"/>
      <c s="2288"/>
      <c s="2288"/>
      <c s="2288"/>
      <c s="2288"/>
      <c s="2288"/>
      <c r="BA68" s="1158">
        <v>16</v>
      </c>
    </row>
    <row r="69" spans="15:15 53:53" ht="14.7" customHeight="1">
      <c r="O69" s="540"/>
      <c r="BA69" s="1158">
        <v>14</v>
      </c>
    </row>
    <row r="70" spans="1:53" ht="22.5" customHeight="1" hidden="1">
      <c r="A70" s="1163" t="s">
        <v>81</v>
      </c>
      <c s="1163">
        <v>0</v>
      </c>
      <c s="1163">
        <v>0</v>
      </c>
      <c s="1163">
        <v>0</v>
      </c>
      <c s="1163">
        <v>0</v>
      </c>
      <c s="1163">
        <v>0</v>
      </c>
      <c s="1163">
        <v>0</v>
      </c>
      <c s="1163">
        <v>0</v>
      </c>
      <c s="1163">
        <v>0</v>
      </c>
      <c s="1163">
        <v>0</v>
      </c>
      <c s="1163">
        <v>0</v>
      </c>
      <c s="1332">
        <v>0</v>
      </c>
      <c s="1365">
        <v>0</v>
      </c>
      <c s="1365">
        <v>0</v>
      </c>
      <c s="1365">
        <v>0</v>
      </c>
      <c s="1365">
        <v>3</v>
      </c>
      <c s="1374">
        <v>3</v>
      </c>
      <c s="347">
        <v>3</v>
      </c>
      <c s="584">
        <v>12</v>
      </c>
      <c s="1158">
        <v>31</v>
      </c>
      <c s="1158">
        <v>0</v>
      </c>
      <c s="1158">
        <v>0</v>
      </c>
      <c s="1158">
        <v>0</v>
      </c>
      <c s="1158">
        <v>0</v>
      </c>
      <c s="1158">
        <v>0</v>
      </c>
      <c s="1158">
        <v>0</v>
      </c>
      <c s="1158">
        <v>0</v>
      </c>
      <c s="1158">
        <v>5</v>
      </c>
      <c s="1158">
        <v>3</v>
      </c>
      <c s="1158">
        <v>3</v>
      </c>
      <c s="1158">
        <v>24</v>
      </c>
      <c s="1158">
        <v>3</v>
      </c>
      <c s="1158">
        <v>3</v>
      </c>
      <c s="1158">
        <v>3</v>
      </c>
      <c s="1158">
        <v>24</v>
      </c>
      <c s="1158">
        <v>3</v>
      </c>
      <c s="1158">
        <v>3</v>
      </c>
      <c s="1158">
        <v>3</v>
      </c>
      <c s="1158">
        <v>18</v>
      </c>
      <c s="1158">
        <v>21</v>
      </c>
      <c s="1158">
        <v>21</v>
      </c>
      <c s="1158">
        <v>11</v>
      </c>
      <c s="1158">
        <v>3</v>
      </c>
      <c s="1158">
        <v>11</v>
      </c>
      <c s="1158">
        <v>8</v>
      </c>
      <c s="1158">
        <v>4</v>
      </c>
      <c s="1158">
        <v>115</v>
      </c>
      <c s="514">
        <v>10</v>
      </c>
      <c s="514">
        <v>10</v>
      </c>
      <c s="514">
        <v>10</v>
      </c>
      <c s="514">
        <v>10</v>
      </c>
      <c s="514">
        <v>10</v>
      </c>
      <c s="1158">
        <v>23</v>
      </c>
    </row>
  </sheetData>
  <sheetProtection formatColumns="0" formatRows="0" insertRows="0" deleteColumns="0" deleteRows="0" sort="0" autoFilter="0"/>
  <mergeCells count="119">
    <mergeCell ref="T67:AU67"/>
    <mergeCell ref="T68:AU68"/>
    <mergeCell ref="AI51:AI52"/>
    <mergeCell ref="AJ51:AJ52"/>
    <mergeCell ref="AJ40:AM43"/>
    <mergeCell ref="AD51:AD53"/>
    <mergeCell ref="AE51:AE53"/>
    <mergeCell ref="AF51:AF53"/>
    <mergeCell ref="AG51:AG52"/>
    <mergeCell ref="AH51:AH52"/>
    <mergeCell ref="T64:AU64"/>
    <mergeCell ref="T65:AU65"/>
    <mergeCell ref="T51:T54"/>
    <mergeCell ref="AB51:AB54"/>
    <mergeCell ref="AC51:AC53"/>
    <mergeCell ref="AU39:AU43"/>
    <mergeCell ref="T40:T43"/>
    <mergeCell ref="V40:Z40"/>
    <mergeCell ref="AU51:AU55"/>
    <mergeCell ref="Y44:Z44"/>
    <mergeCell ref="AQ44:AR44"/>
    <mergeCell ref="X41:Z42"/>
    <mergeCell ref="Y43:Z43"/>
    <mergeCell ref="AQ43:AR43"/>
    <mergeCell ref="E2:E17"/>
    <mergeCell ref="F3:F16"/>
    <mergeCell ref="G4:G15"/>
    <mergeCell ref="H5:H14"/>
    <mergeCell ref="V5:AA5"/>
    <mergeCell ref="X8:X11"/>
    <mergeCell ref="Y8:Y11"/>
    <mergeCell ref="Z8:Z11"/>
    <mergeCell ref="AA8:AA11"/>
    <mergeCell ref="V2:AA2"/>
    <mergeCell ref="I6:I13"/>
    <mergeCell ref="P6:P13"/>
    <mergeCell ref="V6:AA6"/>
    <mergeCell ref="J7:J12"/>
    <mergeCell ref="Q7:Q12"/>
    <mergeCell ref="V7:AA7"/>
    <mergeCell ref="K8:K11"/>
    <mergeCell ref="S8:S11"/>
    <mergeCell ref="T8:T11"/>
    <mergeCell ref="R8:R11"/>
    <mergeCell ref="E45:E61"/>
    <mergeCell ref="V45:AA45"/>
    <mergeCell ref="AB45:AT45"/>
    <mergeCell ref="F46:F59"/>
    <mergeCell ref="V46:AA46"/>
    <mergeCell ref="AB46:AT46"/>
    <mergeCell ref="G47:G58"/>
    <mergeCell ref="V47:AA47"/>
    <mergeCell ref="AB47:AT47"/>
    <mergeCell ref="H48:H57"/>
    <mergeCell ref="V48:AA48"/>
    <mergeCell ref="AB48:AT48"/>
    <mergeCell ref="I49:I56"/>
    <mergeCell ref="P49:P56"/>
    <mergeCell ref="V49:AA49"/>
    <mergeCell ref="AB49:AT49"/>
    <mergeCell ref="J50:J55"/>
    <mergeCell ref="Q50:Q55"/>
    <mergeCell ref="V50:AA50"/>
    <mergeCell ref="AB50:AT50"/>
    <mergeCell ref="K51:K54"/>
    <mergeCell ref="S51:S54"/>
    <mergeCell ref="AP41:AR42"/>
    <mergeCell ref="S40:S43"/>
    <mergeCell ref="S39:AT39"/>
    <mergeCell ref="AN40:AR40"/>
    <mergeCell ref="AB40:AE43"/>
    <mergeCell ref="AF40:AI43"/>
    <mergeCell ref="S35:T35"/>
    <mergeCell ref="V35:Z35"/>
    <mergeCell ref="AB35:AR35"/>
    <mergeCell ref="V38:AA38"/>
    <mergeCell ref="AB38:AS38"/>
    <mergeCell ref="AA40:AA43"/>
    <mergeCell ref="AS40:AS43"/>
    <mergeCell ref="AT40:AT43"/>
    <mergeCell ref="AN41:AO41"/>
    <mergeCell ref="AN42:AO42"/>
    <mergeCell ref="V41:W41"/>
    <mergeCell ref="V42:W42"/>
    <mergeCell ref="AB2:AT2"/>
    <mergeCell ref="V3:AA3"/>
    <mergeCell ref="AB3:AT3"/>
    <mergeCell ref="V4:AA4"/>
    <mergeCell ref="AB4:AT4"/>
    <mergeCell ref="AB5:AT5"/>
    <mergeCell ref="AB6:AT6"/>
    <mergeCell ref="AB7:AT7"/>
    <mergeCell ref="S36:T36"/>
    <mergeCell ref="V36:Z36"/>
    <mergeCell ref="AB36:AR36"/>
    <mergeCell ref="S27:AR27"/>
    <mergeCell ref="S28:AR28"/>
    <mergeCell ref="S30:T30"/>
    <mergeCell ref="V30:Z30"/>
    <mergeCell ref="AB30:AR30"/>
    <mergeCell ref="S31:T31"/>
    <mergeCell ref="V31:Z31"/>
    <mergeCell ref="AB31:AR31"/>
    <mergeCell ref="AE8:AE10"/>
    <mergeCell ref="AF8:AF10"/>
    <mergeCell ref="AG8:AG9"/>
    <mergeCell ref="AH8:AH9"/>
    <mergeCell ref="AU8:AU12"/>
    <mergeCell ref="AJ8:AJ9"/>
    <mergeCell ref="AB8:AB11"/>
    <mergeCell ref="AC8:AC10"/>
    <mergeCell ref="AD8:AD10"/>
    <mergeCell ref="AI8:AI9"/>
    <mergeCell ref="S33:T33"/>
    <mergeCell ref="V33:Z33"/>
    <mergeCell ref="AB33:AR33"/>
    <mergeCell ref="S32:T32"/>
    <mergeCell ref="V32:Z32"/>
    <mergeCell ref="AB32:AR32"/>
  </mergeCells>
  <dataValidations count="10">
    <dataValidation allowBlank="1" errorTitle="Ошибка" error="Выберите значение из списка" sqref="V42:W42"/>
    <dataValidation type="list" allowBlank="1" showInputMessage="1" showErrorMessage="1" prompt="Выберите значение из списка" errorTitle="Ошибка" error="Выберите значение из списка" sqref="AN42:AO42">
      <formula1>UNIT_CONNECT_LIST</formula1>
    </dataValidation>
    <dataValidation type="list" allowBlank="1" showInputMessage="1" prompt="Выберите значение из списка" errorTitle="Ошибка" error="Выберите значение из списка" sqref="V65589:AT65589 V917557:AT917557 V983093:AT983093 V131125:AT131125 V196661:AT196661 V262197:AT262197 V327733:AT327733 V393269:AT393269 V458805:AT458805 V524341:AT524341 V589877:AT589877 V655413:AT655413 V720949:AT720949 V786485:AT786485 V852021:AT852021">
      <formula1>kind_of_cons</formula1>
    </dataValidation>
    <dataValidation allowBlank="1" sqref="S65592:AU65598 S131128:AU131134 S196664:AU196670 S262200:AU262206 S327736:AU327742 S393272:AU393278 S458808:AU458814 S524344:AU524350 S589880:AU589886 S655416:AU655422 S720952:AU720958 S786488:AU786494 S852024:AU852030 S917560:AU917566 S983096:AU983102"/>
    <dataValidation type="list" allowBlank="1" showInputMessage="1" showErrorMessage="1" errorTitle="Ошибка" error="Выберите значение из списка" sqref="T65590 T131126 T196662 T262198 T327734 T393270 T458806 T524342 T589878 T655414 T720950 T786486 T852022 T917558 T983094">
      <formula1>kind_of_heat_transfer</formula1>
    </dataValidation>
    <dataValidation type="list" allowBlank="1" showInputMessage="1" showErrorMessage="1" errorTitle="Ошибка" error="Выберите значение из списка" sqref="AB65588:AM65588 AB983092:AM983092 AB131124:AM131124 AB196660:AM196660 AB262196:AM262196 AB327732:AM327732 AB393268:AM393268 AB458804:AM458804 AB524340:AM524340 AB589876:AM589876 AB655412:AM655412 AB720948:AM720948 AB786484:AM786484 AB852020:AM852020 AB917556:AM917556">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8:X10 X65590 X131126 X196662 X262198 X327734 X393270 X458806 X524342 X589878 X655414 X720950 X786486 X852022 X917558 X983094 Z65590 Z131126 Z196662 Z262198 Z327734 Z393270 Z458806 Z524342 Z589878 Z655414 Z720950 Z786486 Z852022 Z917558 Z983094 Z8:Z10 AP65590 AP131126 AP196662 AP262198 AP327734 AP393270 AP458806 AP524342 AP589878 AP655414 AP720950 AP786486 AP852022 AP917558 AP983094 AR65590 AR131126 AR196662 AR262198 AR327734 AR393270 AR458806 AR524342 AR589878 AR655414 AR720950 AR786486 AR852022 AR917558 AR983094 AR8 AR51 AR19 AP19 AP8 AP51 Z51 X51"/>
    <dataValidation allowBlank="1" promptTitle="checkPeriodRange" sqref="W11 W65591 W131127 W196663 W262199 W327735 W393271 W458807 W524343 W589879 W655415 W720951 W786487 W852023 W917559 W983095 AO54 AO65591 AO131127 AO196663 AO262199 AO327735 AO393271 AO458807 AO524343 AO589879 AO655415 AO720951 AO786487 AO852023 AO917559 AO983095 AO11 W54"/>
    <dataValidation type="textLength" operator="lessThanOrEqual" allowBlank="1" showInputMessage="1" showErrorMessage="1" errorTitle="Ошибка" error="Допускается ввод не более 900 символов!" sqref="T8:T11 AU65584:AU65591 AU131120:AU131127 AU196656:AU196663 AU262192:AU262199 AU327728:AU327735 AU393264:AU393271 AU458800:AU458807 AU524336:AU524343 AU589872:AU589879 AU655408:AU655415 AU720944:AU720951 AU786480:AU786487 AU852016:AU852023 AU917552:AU917559 AU983088:AU983095 T51:T54">
      <formula1>900</formula1>
    </dataValidation>
    <dataValidation allowBlank="1" showInputMessage="1" showErrorMessage="1" prompt="Для выбора выполните двойной щелчок левой клавиши мыши по соответствующей ячейке." sqref="Y8:Y10 Y65590 Y131126 Y196662 Y262198 Y327734 Y393270 Y458806 Y524342 Y589878 Y655414 Y720950 Y786486 Y852022 Y917558 Y983094 AA131126 AA458806 AA196662 AA262198 AA327734 AA393270 AA524342 AA589878 AA655414 AA720950 AA786486 AA852022 AA917558 AA983094 AA65590 AA8:AA10 AQ65590 AQ131126 AQ196662 AQ262198 AQ327734 AQ393270 AQ458806 AQ524342 AQ589878 AQ655414 AQ720950 AQ786486 AQ852022 AQ917558 AQ983094 AS131126 AS458806 AS196662 AS262198 AS327734 AS393270 AS524342 AS589878 AS655414 AS720950 AS786486 AS852022 AS917558 AS983094 AS65590 AQ8 AB8 AE8:AF8 AI8:AJ8 AQ19 AS51 AS19 AB19 AE19:AF19 AI19:AJ19 AI51:AJ51 AE51:AF51 AA51:AB51 AS8 AQ51 Y51"/>
  </dataValidations>
  <pageMargins left="0.7" right="0.7" top="0.75" bottom="0.75" header="0.3" footer="0.3"/>
  <pageSetup orientation="portrait"/>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m="http://schemas.microsoft.com/office/excel/2006/main" xmlns:x14ac="http://schemas.microsoft.com/office/spreadsheetml/2009/9/ac" xmlns:xr="http://schemas.microsoft.com/office/spreadsheetml/2014/revision" xmlns:xr2="http://schemas.microsoft.com/office/spreadsheetml/2015/revision2" xmlns:xr3="http://schemas.microsoft.com/office/spreadsheetml/2016/revision3" xr:uid="{3B6EAFCA-229C-F93B-8C46-F2B10BE479CA}" mc:Ignorable="x14ac xr xr2 xr3">
  <sheetPr>
    <tabColor theme="6" tint="0.400000005960464"/>
  </sheetPr>
  <dimension ref="A1:AQ58"/>
  <sheetViews>
    <sheetView showGridLines="0" zoomScale="90" zoomScaleNormal="90" workbookViewId="0" topLeftCell="A1">
      <pane xSplit="28" ySplit="40" topLeftCell="AC41" activePane="bottomRight" state="frozen"/>
      <selection pane="topLeft" activeCell="A1" sqref="A1"/>
      <selection pane="bottomLeft" activeCell="A41" sqref="A41"/>
      <selection pane="topRight" activeCell="AC1" sqref="AC1"/>
      <selection pane="bottomRight" activeCell="A1" sqref="A1"/>
    </sheetView>
  </sheetViews>
  <sheetFormatPr defaultColWidth="10.5742857142857" defaultRowHeight="14.25" customHeight="1"/>
  <cols>
    <col min="1" max="1" width="10.5714285714286" style="1369" hidden="1"/>
    <col min="2" max="2" width="11" style="1369" hidden="1" customWidth="1"/>
    <col min="3" max="3" width="10.5714285714286" style="1369" hidden="1"/>
    <col min="4" max="4" width="11.8571428571429" style="1369" hidden="1" customWidth="1"/>
    <col min="5" max="5" width="10" style="1369" hidden="1" customWidth="1"/>
    <col min="6" max="6" width="8.71428571428571" style="1369" hidden="1" customWidth="1"/>
    <col min="7" max="7" width="7.57142857142857" style="1369" hidden="1" customWidth="1"/>
    <col min="8" max="8" width="11.4285714285714" style="1369" hidden="1" customWidth="1"/>
    <col min="9" max="9" width="14.1428571428571" style="1369" hidden="1" customWidth="1"/>
    <col min="10" max="10" width="9.85714285714286" style="1369" hidden="1" customWidth="1"/>
    <col min="11" max="11" width="14.7142857142857" style="1369" hidden="1" customWidth="1"/>
    <col min="12" max="12" width="19.1428571428571" style="2610" hidden="1" customWidth="1"/>
    <col min="13" max="14" width="12.2857142857143" style="1779" hidden="1" customWidth="1"/>
    <col min="15" max="15" width="23.4285714285714" style="1779" hidden="1" customWidth="1"/>
    <col min="16" max="16" width="3" style="2400" customWidth="1"/>
    <col min="17" max="18" width="3" style="347" customWidth="1"/>
    <col min="19" max="19" width="12" style="2410" customWidth="1"/>
    <col min="20" max="20" width="35" style="1638" customWidth="1"/>
    <col min="21" max="21" width="0.142857142857143" style="1638" customWidth="1"/>
    <col min="22" max="24" width="24.7142857142857" style="1638" hidden="1" customWidth="1"/>
    <col min="25" max="25" width="11.7142857142857" style="1638" hidden="1" customWidth="1"/>
    <col min="26" max="26" width="3.71428571428571" style="1638" hidden="1" customWidth="1"/>
    <col min="27" max="27" width="11.7142857142857" style="1638" hidden="1" customWidth="1"/>
    <col min="28" max="28" width="8.57142857142857" style="1638" hidden="1" customWidth="1"/>
    <col min="29" max="29" width="24.7142857142857" style="1638" customWidth="1"/>
    <col min="30" max="31" width="24" style="1638" customWidth="1"/>
    <col min="32" max="32" width="11" style="1638" customWidth="1"/>
    <col min="33" max="33" width="3.71428571428571" style="1638" customWidth="1"/>
    <col min="34" max="34" width="11" style="1638" customWidth="1"/>
    <col min="35" max="35" width="8.57142857142857" style="1638" hidden="1" customWidth="1"/>
    <col min="36" max="36" width="4" style="1638" customWidth="1"/>
    <col min="37" max="37" width="115" style="1638" customWidth="1"/>
    <col min="38" max="42" width="10" style="1645" customWidth="1"/>
    <col min="43" max="43" width="10.5714285714286" style="1638" hidden="1"/>
  </cols>
  <sheetData>
    <row r="1" spans="24:43" ht="22.5" customHeight="1" hidden="1">
      <c r="X1" s="330"/>
      <c s="330"/>
      <c r="AE1" s="330"/>
      <c s="330"/>
      <c r="AQ1" s="1158" t="s">
        <v>14</v>
      </c>
    </row>
    <row r="2" spans="1:43" ht="23.25" customHeight="1" hidden="1">
      <c r="A2" s="1366"/>
      <c s="1366"/>
      <c s="1366"/>
      <c s="1366"/>
      <c s="2261">
        <v>1</v>
      </c>
      <c s="1366"/>
      <c s="1366"/>
      <c s="1366"/>
      <c s="1366"/>
      <c s="1366"/>
      <c s="1366"/>
      <c s="1367"/>
      <c s="1368"/>
      <c s="1368"/>
      <c s="1368"/>
      <c s="364"/>
      <c s="363"/>
      <c s="358"/>
      <c s="1428">
        <f>INDEX(PT_DIFFERENTIATION_NUM_NTAR,MATCH(A2,PT_DIFFERENTIATION_NTAR_ID,0))</f>
      </c>
      <c s="301" t="s">
        <v>125</v>
      </c>
      <c s="303"/>
      <c s="2245"/>
      <c s="2246"/>
      <c s="2246"/>
      <c s="2246"/>
      <c s="2246"/>
      <c s="2246"/>
      <c s="2247"/>
      <c s="2245">
        <f>INDEX(PT_DIFFERENTIATION_NTAR,MATCH(A2,PT_DIFFERENTIATION_NTAR_ID,0))</f>
      </c>
      <c s="2246"/>
      <c s="2246"/>
      <c s="2246"/>
      <c s="2246"/>
      <c s="2246"/>
      <c s="2246"/>
      <c s="2247"/>
      <c s="126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3"/>
      <c s="503" t="str">
        <f>IF(T2="","",T2)</f>
        <v>Наименование тарифа</v>
      </c>
      <c s="503"/>
      <c s="503"/>
      <c s="1158">
        <v>0</v>
      </c>
    </row>
    <row r="3" spans="1:43" ht="23.25" customHeight="1" hidden="1">
      <c r="A3" s="1366"/>
      <c s="1366"/>
      <c s="1366"/>
      <c s="1366"/>
      <c s="2262"/>
      <c s="2261">
        <v>1</v>
      </c>
      <c s="1366"/>
      <c s="1366"/>
      <c s="1366"/>
      <c s="1366"/>
      <c s="1366"/>
      <c s="1367"/>
      <c s="1368"/>
      <c s="1368"/>
      <c s="1368"/>
      <c s="1426"/>
      <c s="355"/>
      <c s="356"/>
      <c s="1428">
        <f>INDEX(PT_DIFFERENTIATION_NUM_TER,MATCH(B3,PT_DIFFERENTIATION_TER_ID,0))</f>
      </c>
      <c s="311" t="s">
        <v>397</v>
      </c>
      <c s="303"/>
      <c s="2245"/>
      <c s="2246"/>
      <c s="2246"/>
      <c s="2246"/>
      <c s="2246"/>
      <c s="2246"/>
      <c s="2247"/>
      <c s="2245">
        <f>INDEX(PT_DIFFERENTIATION_TER,MATCH(B3,PT_DIFFERENTIATION_TER_ID,0))</f>
      </c>
      <c s="2246"/>
      <c s="2246"/>
      <c s="2246"/>
      <c s="2246"/>
      <c s="2246"/>
      <c s="2246"/>
      <c s="2247"/>
      <c s="1261" t="s">
        <v>398</v>
      </c>
      <c r="AM3" s="503"/>
      <c s="503" t="str">
        <f>IF(T3="","",T3)</f>
        <v>Территория действия тарифа</v>
      </c>
      <c s="503"/>
      <c s="503"/>
      <c s="1158">
        <v>0</v>
      </c>
    </row>
    <row r="4" spans="1:43" ht="23.25" customHeight="1" hidden="1">
      <c r="A4" s="1366"/>
      <c s="1366"/>
      <c s="1366"/>
      <c s="1366"/>
      <c s="2262"/>
      <c s="2262"/>
      <c s="2261">
        <v>1</v>
      </c>
      <c s="1366"/>
      <c s="1366"/>
      <c s="1366"/>
      <c s="1366"/>
      <c s="1367"/>
      <c s="1368"/>
      <c s="1368"/>
      <c s="1368"/>
      <c s="357"/>
      <c s="355"/>
      <c s="356"/>
      <c s="1428">
        <f>INDEX(PT_DIFFERENTIATION_NUM_CS,MATCH(C4,PT_DIFFERENTIATION_CS_ID,0))</f>
      </c>
      <c s="312" t="s">
        <v>481</v>
      </c>
      <c s="303"/>
      <c s="2245"/>
      <c s="2246"/>
      <c s="2246"/>
      <c s="2246"/>
      <c s="2246"/>
      <c s="2246"/>
      <c s="2247"/>
      <c s="2245">
        <f>INDEX(PT_DIFFERENTIATION_CS,MATCH(C4,PT_DIFFERENTIATION_CS_ID,0))</f>
      </c>
      <c s="2246"/>
      <c s="2246"/>
      <c s="2246"/>
      <c s="2246"/>
      <c s="2246"/>
      <c s="2246"/>
      <c s="2247"/>
      <c s="1261" t="s">
        <v>482</v>
      </c>
      <c r="AM4" s="503"/>
      <c s="503" t="str">
        <f>IF(T4="","",T4)</f>
        <v>Наименование централизованной системы холодного водоснабжения</v>
      </c>
      <c s="503"/>
      <c s="503"/>
      <c s="1158">
        <v>0</v>
      </c>
    </row>
    <row r="5" spans="1:43" ht="23.25" customHeight="1" hidden="1">
      <c r="A5" s="1366"/>
      <c s="1366"/>
      <c s="1366"/>
      <c s="1366"/>
      <c s="2262"/>
      <c s="2262"/>
      <c s="2262"/>
      <c s="2262"/>
      <c s="2259">
        <f>S4&amp;".1"</f>
      </c>
      <c s="1366"/>
      <c s="1366"/>
      <c s="1367"/>
      <c r="P5" s="2260">
        <v>1</v>
      </c>
      <c s="1425"/>
      <c s="359"/>
      <c s="1428">
        <f>$I5</f>
      </c>
      <c s="288" t="s">
        <v>483</v>
      </c>
      <c s="303"/>
      <c s="2353"/>
      <c s="2354"/>
      <c s="2354"/>
      <c s="2354"/>
      <c s="2354"/>
      <c s="2354"/>
      <c s="2355"/>
      <c s="2356"/>
      <c s="2357"/>
      <c s="2357"/>
      <c s="2357"/>
      <c s="2357"/>
      <c s="2357"/>
      <c s="2357"/>
      <c s="2358"/>
      <c s="1261" t="s">
        <v>484</v>
      </c>
      <c r="AM5" s="503"/>
      <c s="503" t="str">
        <f>IF(T5="","",T5)</f>
        <v>Наименование признака дифференциации</v>
      </c>
      <c s="503"/>
      <c s="503"/>
      <c s="1158">
        <v>0</v>
      </c>
    </row>
    <row r="6" spans="1:43" ht="23.25" customHeight="1" hidden="1">
      <c r="A6" s="1366"/>
      <c s="1366"/>
      <c s="1366"/>
      <c s="1366"/>
      <c s="2262"/>
      <c s="2262"/>
      <c s="2262"/>
      <c s="2262"/>
      <c s="2289"/>
      <c s="2259">
        <f>I5&amp;".1"</f>
      </c>
      <c s="1366"/>
      <c s="1367" t="s">
        <v>406</v>
      </c>
      <c r="P6" s="2260"/>
      <c s="2260">
        <v>1</v>
      </c>
      <c s="360"/>
      <c s="1428">
        <f>$J6</f>
      </c>
      <c s="289" t="s">
        <v>407</v>
      </c>
      <c s="303"/>
      <c s="2248"/>
      <c s="2249"/>
      <c s="2249"/>
      <c s="2249"/>
      <c s="2249"/>
      <c s="2249"/>
      <c s="2250"/>
      <c s="2248"/>
      <c s="2249"/>
      <c s="2249"/>
      <c s="2249"/>
      <c s="2249"/>
      <c s="2249"/>
      <c s="2249"/>
      <c s="2250"/>
      <c s="1310" t="s">
        <v>485</v>
      </c>
      <c r="AM6" s="503"/>
      <c s="503" t="str">
        <f>IF(T6="","",T6)</f>
        <v>Группа потребителей</v>
      </c>
      <c s="503"/>
      <c s="503"/>
      <c s="1158">
        <v>0</v>
      </c>
    </row>
    <row r="7" spans="1:43" ht="23.25" customHeight="1" hidden="1">
      <c r="A7" s="1366"/>
      <c s="1366"/>
      <c s="1366"/>
      <c s="1366"/>
      <c s="2262"/>
      <c s="2262"/>
      <c s="2262"/>
      <c s="2262"/>
      <c s="2289"/>
      <c s="2289"/>
      <c s="2259">
        <f>J6&amp;".1"</f>
      </c>
      <c s="1367"/>
      <c r="P7" s="2260"/>
      <c s="2260"/>
      <c s="360">
        <v>1</v>
      </c>
      <c s="1428">
        <f>$K7</f>
      </c>
      <c s="1440"/>
      <c s="303"/>
      <c s="754"/>
      <c s="754"/>
      <c s="1260"/>
      <c s="2268"/>
      <c s="2110" t="s">
        <v>65</v>
      </c>
      <c s="2268"/>
      <c s="2110" t="s">
        <v>65</v>
      </c>
      <c s="754"/>
      <c s="754"/>
      <c s="1260"/>
      <c s="2268"/>
      <c s="2110" t="s">
        <v>65</v>
      </c>
      <c s="2290"/>
      <c s="2110" t="s">
        <v>65</v>
      </c>
      <c s="1441"/>
      <c s="235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s="514">
        <f>STRCHECKDATE(V8:AJ8)</f>
      </c>
      <c s="503"/>
      <c s="503" t="str">
        <f>IF(T7="","",T7)</f>
        <v/>
      </c>
      <c s="503"/>
      <c s="503"/>
      <c s="1158">
        <v>0</v>
      </c>
    </row>
    <row r="8" spans="1:43" ht="14.25" customHeight="1" hidden="1">
      <c r="A8" s="1366"/>
      <c s="1366"/>
      <c s="1366"/>
      <c s="1366"/>
      <c s="2262"/>
      <c s="2262"/>
      <c s="2262"/>
      <c s="2262"/>
      <c s="2289"/>
      <c s="2289"/>
      <c s="2259"/>
      <c s="1367"/>
      <c r="P8" s="2260"/>
      <c s="2260"/>
      <c s="360"/>
      <c s="1427"/>
      <c s="303"/>
      <c s="303"/>
      <c s="328"/>
      <c s="328"/>
      <c s="331" t="str">
        <f>Y7&amp;"-"&amp;AA7</f>
        <v>-</v>
      </c>
      <c s="2269"/>
      <c s="2110"/>
      <c s="2269"/>
      <c s="2110"/>
      <c s="328"/>
      <c s="328"/>
      <c s="331" t="str">
        <f>AF7&amp;"-"&amp;AH7</f>
        <v>-</v>
      </c>
      <c s="2269"/>
      <c s="2110"/>
      <c s="2291"/>
      <c s="2110"/>
      <c s="1442"/>
      <c s="2352"/>
      <c r="AM8" s="503"/>
      <c s="503" t="str">
        <f>IF(T8="","",T8)</f>
        <v/>
      </c>
      <c s="503"/>
      <c s="503"/>
      <c s="1158">
        <v>0</v>
      </c>
    </row>
    <row r="9" spans="1:43" ht="21" customHeight="1" hidden="1">
      <c r="A9" s="1366"/>
      <c s="1366"/>
      <c s="1366"/>
      <c s="1366"/>
      <c s="2262"/>
      <c s="2262"/>
      <c s="2262"/>
      <c s="2262"/>
      <c s="2289"/>
      <c s="2259"/>
      <c s="1366"/>
      <c s="1367"/>
      <c r="P9" s="2260"/>
      <c s="2260"/>
      <c s="359"/>
      <c s="1281"/>
      <c s="290" t="s">
        <v>486</v>
      </c>
      <c s="370"/>
      <c s="370"/>
      <c s="370"/>
      <c s="370"/>
      <c s="370"/>
      <c s="370"/>
      <c s="370"/>
      <c s="370"/>
      <c s="370"/>
      <c s="370"/>
      <c s="370"/>
      <c s="370"/>
      <c s="370"/>
      <c s="370"/>
      <c s="370"/>
      <c s="370"/>
      <c s="1261" t="s">
        <v>487</v>
      </c>
      <c r="AM9" s="503"/>
      <c s="503" t="str">
        <f>IF(T9="","",T9)</f>
        <v>Добавить значение признака дифференциации</v>
      </c>
      <c s="503"/>
      <c s="503"/>
      <c s="1158">
        <v>0</v>
      </c>
    </row>
    <row r="10" spans="1:43" ht="21" customHeight="1" hidden="1">
      <c r="A10" s="1366"/>
      <c s="1366"/>
      <c s="1366"/>
      <c s="1366"/>
      <c s="2262"/>
      <c s="2262"/>
      <c s="2262"/>
      <c s="2262"/>
      <c s="2259"/>
      <c s="1366"/>
      <c s="1366"/>
      <c s="1367"/>
      <c r="P10" s="2260"/>
      <c s="1425"/>
      <c s="359"/>
      <c s="1281"/>
      <c s="368" t="s">
        <v>412</v>
      </c>
      <c s="370"/>
      <c s="370"/>
      <c s="370"/>
      <c s="370"/>
      <c s="370"/>
      <c s="370"/>
      <c s="370"/>
      <c s="369"/>
      <c s="370"/>
      <c s="370"/>
      <c s="370"/>
      <c s="370"/>
      <c s="370"/>
      <c s="370"/>
      <c s="369"/>
      <c s="370"/>
      <c s="1443"/>
      <c r="AM10" s="503"/>
      <c s="503" t="str">
        <f>IF(T10="","",T10)</f>
        <v>Добавить группу потребителей</v>
      </c>
      <c s="503"/>
      <c s="503"/>
      <c s="1158">
        <v>0</v>
      </c>
    </row>
    <row r="11" spans="1:43" ht="14.25" customHeight="1" hidden="1">
      <c r="A11" s="1366"/>
      <c s="1366"/>
      <c s="1366"/>
      <c s="1366"/>
      <c s="2262"/>
      <c s="2262"/>
      <c s="2262"/>
      <c s="2261"/>
      <c s="1366"/>
      <c s="1366"/>
      <c s="1366"/>
      <c s="1367"/>
      <c s="1368"/>
      <c s="1368"/>
      <c s="540"/>
      <c s="363"/>
      <c s="378"/>
      <c s="358"/>
      <c s="1281"/>
      <c s="375" t="s">
        <v>488</v>
      </c>
      <c s="370"/>
      <c s="370"/>
      <c s="370"/>
      <c s="370"/>
      <c s="370"/>
      <c s="370"/>
      <c s="370"/>
      <c s="369"/>
      <c s="370"/>
      <c s="370"/>
      <c s="370"/>
      <c s="370"/>
      <c s="370"/>
      <c s="370"/>
      <c s="369"/>
      <c s="370"/>
      <c s="306"/>
      <c r="AM11" s="503"/>
      <c s="503" t="str">
        <f>IF(T11="","",T11)</f>
        <v>Добавить наименование признака дифференциации</v>
      </c>
      <c s="503"/>
      <c s="503"/>
      <c s="1158">
        <v>0</v>
      </c>
    </row>
    <row r="12" spans="1:43" s="1645" customFormat="1" ht="14.25" customHeight="1" hidden="1">
      <c r="A12" s="1346"/>
      <c s="1346"/>
      <c s="1317"/>
      <c s="1317"/>
      <c s="2262"/>
      <c s="2261"/>
      <c s="1317"/>
      <c s="1317"/>
      <c s="1317"/>
      <c s="1317"/>
      <c s="1317"/>
      <c s="1429"/>
      <c s="1324"/>
      <c s="1324"/>
      <c r="P12" s="1319"/>
      <c s="1320"/>
      <c s="1319"/>
      <c s="1325"/>
      <c s="1328" t="s">
        <v>415</v>
      </c>
      <c s="1327"/>
      <c s="1327"/>
      <c s="1327"/>
      <c s="1327"/>
      <c s="1327"/>
      <c s="1327"/>
      <c s="1327"/>
      <c s="1327"/>
      <c s="1327"/>
      <c s="1327"/>
      <c s="1327"/>
      <c s="1327"/>
      <c s="1327"/>
      <c s="1327"/>
      <c s="1327"/>
      <c s="1327"/>
      <c s="1327"/>
      <c r="AM12" s="792"/>
      <c s="792" t="str">
        <f>IF(T12="","",T12)</f>
        <v>Добавить централизованную систему для дифференциации</v>
      </c>
      <c s="792"/>
      <c s="792"/>
      <c s="521">
        <v>0</v>
      </c>
    </row>
    <row r="13" spans="1:43" s="1645" customFormat="1" ht="14.25" customHeight="1" hidden="1">
      <c r="A13" s="1346"/>
      <c s="1346"/>
      <c s="1346"/>
      <c s="1346"/>
      <c s="2261"/>
      <c s="1346"/>
      <c s="1346"/>
      <c s="1346"/>
      <c s="1346"/>
      <c s="1346"/>
      <c s="1346"/>
      <c s="1349"/>
      <c s="1324"/>
      <c s="1324"/>
      <c s="521"/>
      <c s="383"/>
      <c s="1347"/>
      <c s="383"/>
      <c s="1325"/>
      <c s="1328" t="s">
        <v>416</v>
      </c>
      <c s="1327"/>
      <c s="1327"/>
      <c s="1327"/>
      <c s="1327"/>
      <c s="1327"/>
      <c s="1327"/>
      <c s="1327"/>
      <c s="1327"/>
      <c s="1327"/>
      <c s="1327"/>
      <c s="1327"/>
      <c s="1327"/>
      <c s="1327"/>
      <c s="1327"/>
      <c s="1327"/>
      <c s="1327"/>
      <c s="1327"/>
      <c r="AM13" s="503"/>
      <c s="503" t="str">
        <f>IF(T13="","",T13)</f>
        <v>Добавить территорию для дифференциации</v>
      </c>
      <c s="503"/>
      <c s="503"/>
      <c s="514">
        <v>0</v>
      </c>
    </row>
    <row r="14" spans="28:43" ht="14.25" customHeight="1" hidden="1">
      <c r="AB14" s="330"/>
      <c r="AI14" s="330"/>
      <c r="AQ14" s="1158">
        <v>0</v>
      </c>
    </row>
    <row r="15" spans="29:43" ht="14.25" customHeight="1" hidden="1">
      <c r="AC15" s="1363"/>
      <c s="1363"/>
      <c s="1364"/>
      <c s="2270"/>
      <c s="2271" t="s">
        <v>65</v>
      </c>
      <c s="2270"/>
      <c s="2271" t="s">
        <v>65</v>
      </c>
      <c r="AQ15" s="1158">
        <v>0</v>
      </c>
    </row>
    <row r="16" spans="29:43" ht="14.25" customHeight="1" hidden="1">
      <c r="AC16" s="1363"/>
      <c s="1363"/>
      <c s="331" t="str">
        <f>AF15&amp;"-"&amp;AH15</f>
        <v>-</v>
      </c>
      <c s="2271"/>
      <c s="2271"/>
      <c s="2271"/>
      <c s="2271"/>
      <c r="AQ16" s="1158">
        <v>0</v>
      </c>
    </row>
    <row r="17" spans="35:43" ht="14.25" customHeight="1" hidden="1">
      <c r="AI17" s="330"/>
      <c r="AQ17" s="1158">
        <v>0</v>
      </c>
    </row>
    <row r="18" spans="12:43" s="1369" customFormat="1" ht="22.5" customHeight="1" hidden="1">
      <c r="L18" s="1424"/>
      <c s="1365"/>
      <c s="1365"/>
      <c s="1370" t="s">
        <v>417</v>
      </c>
      <c s="1365"/>
      <c s="1374"/>
      <c s="1374"/>
      <c s="732"/>
      <c r="Y18" s="1370"/>
      <c r="AA18" s="1370"/>
      <c s="1369"/>
      <c r="AF18" s="1370"/>
      <c r="AH18" s="1370"/>
      <c s="1369"/>
      <c r="AL18" s="514"/>
      <c s="514"/>
      <c s="514"/>
      <c s="514"/>
      <c s="514"/>
      <c s="1163">
        <v>0</v>
      </c>
    </row>
    <row r="19" spans="12:43" s="1369" customFormat="1" ht="14.25" customHeight="1" hidden="1">
      <c r="L19" s="1424"/>
      <c s="1365"/>
      <c s="1365"/>
      <c s="1365"/>
      <c s="1365"/>
      <c s="1374"/>
      <c s="1374"/>
      <c s="732"/>
      <c r="AB19" s="1369"/>
      <c r="AI19" s="1369"/>
      <c r="AL19" s="514"/>
      <c s="514"/>
      <c s="514"/>
      <c s="514"/>
      <c s="514"/>
      <c s="1163">
        <v>0</v>
      </c>
    </row>
    <row r="20" spans="12:43" s="1369" customFormat="1" ht="12" customHeight="1" hidden="1">
      <c r="L20" s="1424"/>
      <c s="1365"/>
      <c s="1365"/>
      <c s="1367" t="s">
        <v>418</v>
      </c>
      <c s="1365"/>
      <c s="1445"/>
      <c s="1445"/>
      <c s="732"/>
      <c s="1163" t="s">
        <v>419</v>
      </c>
      <c r="Z20" s="189" t="s">
        <v>420</v>
      </c>
      <c r="AB20" s="189" t="s">
        <v>421</v>
      </c>
      <c s="1163" t="s">
        <v>419</v>
      </c>
      <c r="AG20" s="189" t="s">
        <v>422</v>
      </c>
      <c r="AI20" s="189" t="s">
        <v>421</v>
      </c>
      <c r="AQ20" s="1163">
        <v>0</v>
      </c>
    </row>
    <row r="21" spans="15:43" ht="14.25" customHeight="1" hidden="1">
      <c r="O21" s="1367"/>
      <c r="AQ21" s="1158">
        <v>0</v>
      </c>
    </row>
    <row r="22" spans="15:43" ht="14.25" customHeight="1" hidden="1">
      <c r="O22" s="1367"/>
      <c r="AQ22" s="1158">
        <v>0</v>
      </c>
    </row>
    <row r="23" spans="17:43" ht="14.7" customHeight="1">
      <c r="Q23" s="379"/>
      <c s="379"/>
      <c s="1278"/>
      <c s="366"/>
      <c s="366"/>
      <c s="512"/>
      <c s="512"/>
      <c s="512"/>
      <c s="512"/>
      <c s="512"/>
      <c s="512"/>
      <c s="512"/>
      <c s="512"/>
      <c s="512"/>
      <c s="512"/>
      <c s="512"/>
      <c s="512"/>
      <c s="512"/>
      <c s="512"/>
      <c r="AQ23" s="1158">
        <v>14</v>
      </c>
    </row>
    <row r="24" spans="17:43" ht="14.7" customHeight="1">
      <c r="Q24" s="379"/>
      <c s="379"/>
      <c s="2251"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s="2251"/>
      <c s="2251"/>
      <c s="2251"/>
      <c s="2251"/>
      <c s="2251"/>
      <c s="2251"/>
      <c s="2251"/>
      <c s="2251"/>
      <c s="2251"/>
      <c s="2251"/>
      <c s="2251"/>
      <c s="2251"/>
      <c s="2251"/>
      <c s="2251"/>
      <c s="2251"/>
      <c s="1246"/>
      <c r="AQ24" s="1158">
        <v>14</v>
      </c>
    </row>
    <row r="25" spans="17:43" ht="14.7" customHeight="1">
      <c r="Q25" s="379"/>
      <c s="379"/>
      <c s="2252" t="str">
        <f>IF(org=0,"Не определено",org)</f>
        <v>ГУП КК "Кубаньводкомплекс"</v>
      </c>
      <c s="2252"/>
      <c s="2252"/>
      <c s="2252"/>
      <c s="2252"/>
      <c s="2252"/>
      <c s="2252"/>
      <c s="2252"/>
      <c s="2252"/>
      <c s="2252"/>
      <c s="2252"/>
      <c s="2252"/>
      <c s="2252"/>
      <c s="2252"/>
      <c s="2252"/>
      <c s="2252"/>
      <c s="1246"/>
      <c r="AQ25" s="1158">
        <v>14</v>
      </c>
    </row>
    <row r="26" spans="17:43" ht="14.25" customHeight="1" hidden="1">
      <c r="Q26" s="379"/>
      <c s="379"/>
      <c s="1278"/>
      <c s="366"/>
      <c s="366"/>
      <c s="325"/>
      <c s="325"/>
      <c s="325"/>
      <c s="325"/>
      <c s="325"/>
      <c s="325"/>
      <c s="325"/>
      <c s="325"/>
      <c s="325"/>
      <c s="325"/>
      <c s="325"/>
      <c s="325"/>
      <c s="325"/>
      <c s="325"/>
      <c s="512"/>
      <c r="AQ26" s="1158">
        <v>0</v>
      </c>
    </row>
    <row r="27" spans="1:43" s="1856" customFormat="1" ht="25.5" customHeight="1" hidden="1">
      <c r="A27" s="1371"/>
      <c s="1371"/>
      <c s="1371"/>
      <c s="1371"/>
      <c s="1371"/>
      <c s="1371"/>
      <c s="1371"/>
      <c s="1371"/>
      <c s="1371"/>
      <c s="1371"/>
      <c s="1371"/>
      <c s="1372"/>
      <c s="1371"/>
      <c s="1371"/>
      <c s="1371"/>
      <c r="S27" s="2253" t="s">
        <v>42</v>
      </c>
      <c s="2253"/>
      <c s="1375"/>
      <c s="2254" t="str">
        <f>IF(TITLE_NAME_OR_PR_CHANGE="",IF(TITLE_NAME_OR_PR="","",TITLE_NAME_OR_PR),TITLE_NAME_OR_PR_CHANGE)</f>
        <v/>
      </c>
      <c s="2254"/>
      <c s="2254"/>
      <c s="2254"/>
      <c s="2254"/>
      <c s="2254"/>
      <c s="329"/>
      <c s="2254" t="str">
        <f>IF(TITLE_NAME_OR_PR_CHANGE="",IF(TITLE_NAME_OR_PR="","",TITLE_NAME_OR_PR),TITLE_NAME_OR_PR_CHANGE)</f>
        <v/>
      </c>
      <c s="2254"/>
      <c s="2254"/>
      <c s="2254"/>
      <c s="2254"/>
      <c s="2254"/>
      <c s="329"/>
      <c s="329"/>
      <c s="283"/>
      <c s="371"/>
      <c s="371"/>
      <c s="371"/>
      <c s="371"/>
      <c s="371"/>
      <c s="421">
        <v>0</v>
      </c>
    </row>
    <row r="28" spans="1:43" s="1856" customFormat="1" ht="18.75" customHeight="1" hidden="1">
      <c r="A28" s="1371"/>
      <c s="1371"/>
      <c s="1371"/>
      <c s="1371"/>
      <c s="1371"/>
      <c s="1371"/>
      <c s="1371"/>
      <c s="1371"/>
      <c s="1371"/>
      <c s="1371"/>
      <c s="1371"/>
      <c s="1372"/>
      <c s="1371"/>
      <c s="1371"/>
      <c s="1371"/>
      <c r="S28" s="2253" t="s">
        <v>423</v>
      </c>
      <c s="2253"/>
      <c s="1375"/>
      <c s="2267" t="str">
        <f>IF(TITLE_DATE_PR_CHANGE="",IF(TITLE_DATE_PR="","",TITLE_DATE_PR),TITLE_DATE_PR_CHANGE)</f>
        <v/>
      </c>
      <c s="2267"/>
      <c s="2267"/>
      <c s="2267"/>
      <c s="2267"/>
      <c s="2267"/>
      <c s="329"/>
      <c s="2267" t="str">
        <f>IF(TITLE_DATE_PR_CHANGE="",IF(TITLE_DATE_PR="","",TITLE_DATE_PR),TITLE_DATE_PR_CHANGE)</f>
        <v/>
      </c>
      <c s="2267"/>
      <c s="2267"/>
      <c s="2267"/>
      <c s="2267"/>
      <c s="2267"/>
      <c s="329"/>
      <c s="329"/>
      <c s="283"/>
      <c s="371"/>
      <c s="371"/>
      <c s="371"/>
      <c s="371"/>
      <c s="371"/>
      <c s="421">
        <v>0</v>
      </c>
    </row>
    <row r="29" spans="1:43" s="1856" customFormat="1" ht="18.75" customHeight="1" hidden="1">
      <c r="A29" s="1371"/>
      <c s="1371"/>
      <c s="1371"/>
      <c s="1371"/>
      <c s="1371"/>
      <c s="1371"/>
      <c s="1371"/>
      <c s="1371"/>
      <c s="1371"/>
      <c s="1371"/>
      <c s="1371"/>
      <c s="1372"/>
      <c s="1371"/>
      <c s="1371"/>
      <c s="1371"/>
      <c r="S29" s="2253" t="s">
        <v>424</v>
      </c>
      <c s="2253"/>
      <c s="1375"/>
      <c s="2254" t="str">
        <f>IF(TITLE_NUMBER_PR_CHANGE="",IF(TITLE_NUMBER_PR="","",TITLE_NUMBER_PR),TITLE_NUMBER_PR_CHANGE)</f>
        <v/>
      </c>
      <c s="2254"/>
      <c s="2254"/>
      <c s="2254"/>
      <c s="2254"/>
      <c s="2254"/>
      <c s="329"/>
      <c s="2254" t="str">
        <f>IF(TITLE_NUMBER_PR_CHANGE="",IF(TITLE_NUMBER_PR="","",TITLE_NUMBER_PR),TITLE_NUMBER_PR_CHANGE)</f>
        <v/>
      </c>
      <c s="2254"/>
      <c s="2254"/>
      <c s="2254"/>
      <c s="2254"/>
      <c s="2254"/>
      <c s="329"/>
      <c s="329"/>
      <c s="283"/>
      <c s="371"/>
      <c s="371"/>
      <c s="371"/>
      <c s="371"/>
      <c s="371"/>
      <c s="421">
        <v>0</v>
      </c>
    </row>
    <row r="30" spans="1:43" s="1856" customFormat="1" ht="18.75" customHeight="1" hidden="1">
      <c r="A30" s="1371"/>
      <c s="1371"/>
      <c s="1371"/>
      <c s="1371"/>
      <c s="1371"/>
      <c s="1371"/>
      <c s="1371"/>
      <c s="1371"/>
      <c s="1371"/>
      <c s="1371"/>
      <c s="1371"/>
      <c s="1372"/>
      <c s="1371"/>
      <c s="1371"/>
      <c s="1371"/>
      <c r="S30" s="2253" t="s">
        <v>43</v>
      </c>
      <c s="2253"/>
      <c s="1375"/>
      <c s="2254" t="str">
        <f>IF(TITLE_IST_PUB_CHANGE="",IF(TITLE_IST_PUB="","",TITLE_IST_PUB),TITLE_IST_PUB_CHANGE)</f>
        <v/>
      </c>
      <c s="2254"/>
      <c s="2254"/>
      <c s="2254"/>
      <c s="2254"/>
      <c s="2254"/>
      <c s="329"/>
      <c s="2254" t="str">
        <f>IF(TITLE_IST_PUB_CHANGE="",IF(TITLE_IST_PUB="","",TITLE_IST_PUB),TITLE_IST_PUB_CHANGE)</f>
        <v/>
      </c>
      <c s="2254"/>
      <c s="2254"/>
      <c s="2254"/>
      <c s="2254"/>
      <c s="2254"/>
      <c s="329"/>
      <c s="329"/>
      <c s="283"/>
      <c s="371"/>
      <c s="371"/>
      <c s="371"/>
      <c s="371"/>
      <c s="371"/>
      <c s="421">
        <v>0</v>
      </c>
    </row>
    <row r="31" spans="17:43" ht="14.25" customHeight="1" hidden="1">
      <c r="Q31" s="379"/>
      <c s="379"/>
      <c s="1278"/>
      <c s="366"/>
      <c s="366"/>
      <c s="325"/>
      <c s="325"/>
      <c s="325"/>
      <c s="325"/>
      <c s="325"/>
      <c s="325"/>
      <c s="325"/>
      <c s="325"/>
      <c s="325"/>
      <c s="325"/>
      <c s="325"/>
      <c s="325"/>
      <c s="325"/>
      <c s="325"/>
      <c s="512"/>
      <c r="AQ31" s="1158">
        <v>0</v>
      </c>
    </row>
    <row r="32" spans="1:43" s="1856" customFormat="1" ht="18.75" customHeight="1" hidden="1">
      <c r="A32" s="1371"/>
      <c s="1371"/>
      <c s="1371"/>
      <c s="1371"/>
      <c s="1371"/>
      <c s="1371"/>
      <c s="1371"/>
      <c s="1371"/>
      <c s="1371"/>
      <c s="1371"/>
      <c s="1371"/>
      <c s="1372"/>
      <c s="1371"/>
      <c s="1371"/>
      <c s="1371"/>
      <c r="S32" s="2253" t="s">
        <v>425</v>
      </c>
      <c s="2253"/>
      <c s="1375"/>
      <c s="2267" t="str">
        <f>IF(TITLE_DATE_PR_CHANGE="",IF(TITLE_DATE_PR="","",TITLE_DATE_PR),TITLE_DATE_PR_CHANGE)</f>
        <v/>
      </c>
      <c s="2267"/>
      <c s="2267"/>
      <c s="2267"/>
      <c s="2267"/>
      <c s="2267"/>
      <c s="329"/>
      <c s="2267" t="str">
        <f>IF(TITLE_DATE_PR_CHANGE="",IF(TITLE_DATE_PR="","",TITLE_DATE_PR),TITLE_DATE_PR_CHANGE)</f>
        <v/>
      </c>
      <c s="2267"/>
      <c s="2267"/>
      <c s="2267"/>
      <c s="2267"/>
      <c s="2267"/>
      <c s="329"/>
      <c s="329"/>
      <c s="283"/>
      <c s="371"/>
      <c s="371"/>
      <c s="371"/>
      <c s="371"/>
      <c s="371"/>
      <c s="421">
        <v>0</v>
      </c>
    </row>
    <row r="33" spans="1:43" s="1856" customFormat="1" ht="18.75" customHeight="1" hidden="1">
      <c r="A33" s="1371"/>
      <c s="1371"/>
      <c s="1371"/>
      <c s="1371"/>
      <c s="1371"/>
      <c s="1371"/>
      <c s="1371"/>
      <c s="1371"/>
      <c s="1371"/>
      <c s="1371"/>
      <c s="1371"/>
      <c s="1372"/>
      <c s="1371"/>
      <c s="1371"/>
      <c s="1371"/>
      <c r="S33" s="2253" t="s">
        <v>426</v>
      </c>
      <c s="2253"/>
      <c s="1375"/>
      <c s="2254" t="str">
        <f>IF(TITLE_NUMBER_PR_CHANGE="",IF(TITLE_NUMBER_PR="","",TITLE_NUMBER_PR),TITLE_NUMBER_PR_CHANGE)</f>
        <v/>
      </c>
      <c s="2254"/>
      <c s="2254"/>
      <c s="2254"/>
      <c s="2254"/>
      <c s="2254"/>
      <c s="329"/>
      <c s="2254" t="str">
        <f>IF(TITLE_NUMBER_PR_CHANGE="",IF(TITLE_NUMBER_PR="","",TITLE_NUMBER_PR),TITLE_NUMBER_PR_CHANGE)</f>
        <v/>
      </c>
      <c s="2254"/>
      <c s="2254"/>
      <c s="2254"/>
      <c s="2254"/>
      <c s="2254"/>
      <c s="329"/>
      <c s="329"/>
      <c s="283"/>
      <c s="371"/>
      <c s="371"/>
      <c s="371"/>
      <c s="371"/>
      <c s="371"/>
      <c s="421">
        <v>0</v>
      </c>
    </row>
    <row r="34" spans="1:43" s="1856" customFormat="1" ht="1.05" customHeight="1">
      <c r="A34" s="1371"/>
      <c s="1371"/>
      <c s="1371"/>
      <c s="1371"/>
      <c s="1371"/>
      <c s="1371"/>
      <c s="1371"/>
      <c s="1371"/>
      <c s="1371"/>
      <c s="1371"/>
      <c s="1371"/>
      <c s="1372"/>
      <c s="1371"/>
      <c s="1371"/>
      <c s="1371"/>
      <c r="S34" s="326"/>
      <c s="326"/>
      <c s="1358"/>
      <c s="329"/>
      <c s="329"/>
      <c s="329"/>
      <c s="329"/>
      <c s="329"/>
      <c s="329"/>
      <c s="281" t="s">
        <v>427</v>
      </c>
      <c s="329"/>
      <c s="329"/>
      <c s="329"/>
      <c s="329"/>
      <c s="329"/>
      <c s="329"/>
      <c s="281" t="s">
        <v>427</v>
      </c>
      <c r="AL34" s="371"/>
      <c s="371"/>
      <c s="371"/>
      <c s="371"/>
      <c s="371"/>
      <c s="421">
        <v>1</v>
      </c>
    </row>
    <row r="35" spans="17:43" ht="14.7" customHeight="1">
      <c r="Q35" s="379"/>
      <c s="379"/>
      <c s="1278"/>
      <c s="366"/>
      <c s="1247"/>
      <c s="2255"/>
      <c s="2255"/>
      <c s="2255"/>
      <c s="2255"/>
      <c s="2255"/>
      <c s="2255"/>
      <c s="2255"/>
      <c s="2255"/>
      <c s="2255"/>
      <c s="2255"/>
      <c s="2255"/>
      <c s="2255"/>
      <c s="2255"/>
      <c s="2255"/>
      <c r="AQ35" s="1158">
        <v>14</v>
      </c>
    </row>
    <row r="36" spans="17:43" ht="14.7" customHeight="1">
      <c r="Q36" s="379"/>
      <c s="379"/>
      <c s="2130" t="s">
        <v>300</v>
      </c>
      <c s="2130"/>
      <c s="2130"/>
      <c s="2130"/>
      <c s="2130"/>
      <c s="2130"/>
      <c s="2130"/>
      <c s="2130"/>
      <c s="2130"/>
      <c s="2130"/>
      <c s="2130"/>
      <c s="2130"/>
      <c s="2130"/>
      <c s="2130"/>
      <c s="2130"/>
      <c s="2130"/>
      <c s="2130"/>
      <c s="2130"/>
      <c s="2130" t="s">
        <v>301</v>
      </c>
      <c r="AQ36" s="1158">
        <v>14</v>
      </c>
    </row>
    <row r="37" spans="17:43" ht="14.7" customHeight="1">
      <c r="Q37" s="379"/>
      <c s="379"/>
      <c s="2276" t="s">
        <v>87</v>
      </c>
      <c s="2212" t="s">
        <v>428</v>
      </c>
      <c s="304"/>
      <c s="2277" t="s">
        <v>429</v>
      </c>
      <c s="2278"/>
      <c s="2278"/>
      <c s="2278"/>
      <c s="2278"/>
      <c s="2279"/>
      <c s="2280" t="s">
        <v>430</v>
      </c>
      <c s="2277" t="s">
        <v>429</v>
      </c>
      <c s="2278"/>
      <c s="2278"/>
      <c s="2278"/>
      <c s="2278"/>
      <c s="2279"/>
      <c s="2280" t="s">
        <v>431</v>
      </c>
      <c s="2283" t="s">
        <v>432</v>
      </c>
      <c s="2130"/>
      <c r="AQ37" s="1158">
        <v>14</v>
      </c>
    </row>
    <row r="38" spans="17:43" ht="35.7" customHeight="1">
      <c r="Q38" s="379"/>
      <c s="379"/>
      <c s="2276"/>
      <c s="2212"/>
      <c s="1034"/>
      <c s="1355" t="s">
        <v>489</v>
      </c>
      <c s="2265" t="s">
        <v>435</v>
      </c>
      <c s="2266"/>
      <c s="2265" t="s">
        <v>436</v>
      </c>
      <c s="2272"/>
      <c s="2266"/>
      <c s="2281"/>
      <c s="1355" t="s">
        <v>489</v>
      </c>
      <c s="2265" t="s">
        <v>435</v>
      </c>
      <c s="2266"/>
      <c s="2265" t="s">
        <v>436</v>
      </c>
      <c s="2272"/>
      <c s="2266"/>
      <c s="2281"/>
      <c s="2284"/>
      <c s="2130"/>
      <c r="AQ38" s="1158">
        <v>34</v>
      </c>
    </row>
    <row r="39" spans="1:43" ht="35.7" customHeight="1">
      <c r="A39" s="1373"/>
      <c s="1373" t="s">
        <v>137</v>
      </c>
      <c s="1373" t="s">
        <v>138</v>
      </c>
      <c s="1373" t="s">
        <v>139</v>
      </c>
      <c s="1367" t="s">
        <v>437</v>
      </c>
      <c s="1367" t="s">
        <v>438</v>
      </c>
      <c s="1367" t="s">
        <v>439</v>
      </c>
      <c s="1367"/>
      <c s="1367" t="s">
        <v>490</v>
      </c>
      <c s="1367" t="s">
        <v>442</v>
      </c>
      <c s="1367" t="s">
        <v>491</v>
      </c>
      <c s="1367" t="s">
        <v>418</v>
      </c>
      <c r="Q39" s="379"/>
      <c s="379"/>
      <c s="2276"/>
      <c s="2212"/>
      <c s="305"/>
      <c s="1355" t="s">
        <v>492</v>
      </c>
      <c s="1225" t="s">
        <v>493</v>
      </c>
      <c s="1225" t="s">
        <v>494</v>
      </c>
      <c s="1360" t="s">
        <v>446</v>
      </c>
      <c s="2273" t="s">
        <v>447</v>
      </c>
      <c s="2274"/>
      <c s="2282"/>
      <c s="1355" t="s">
        <v>492</v>
      </c>
      <c s="1225" t="s">
        <v>493</v>
      </c>
      <c s="1225" t="s">
        <v>494</v>
      </c>
      <c s="1360" t="s">
        <v>446</v>
      </c>
      <c s="2273" t="s">
        <v>447</v>
      </c>
      <c s="2274"/>
      <c s="2282"/>
      <c s="2285"/>
      <c s="2130"/>
      <c r="AQ39" s="1158">
        <v>34</v>
      </c>
    </row>
    <row r="40" spans="1:43" s="1644" customFormat="1" ht="11.25" customHeight="1" hidden="1">
      <c r="A40" s="1373"/>
      <c s="1373"/>
      <c s="1373"/>
      <c s="1373"/>
      <c s="1373"/>
      <c s="1373"/>
      <c s="1373"/>
      <c s="1373"/>
      <c s="1373"/>
      <c s="1373"/>
      <c s="1373"/>
      <c s="1367"/>
      <c s="1365"/>
      <c s="1365"/>
      <c s="1365"/>
      <c s="1249"/>
      <c s="1250"/>
      <c s="1257">
        <v>1</v>
      </c>
      <c s="1280" t="s">
        <v>109</v>
      </c>
      <c s="1258" t="s">
        <v>110</v>
      </c>
      <c s="1248" t="str">
        <f ca="1">OFFSET(U40,0,-1)</f>
        <v>2</v>
      </c>
      <c s="1356">
        <f ca="1">OFFSET(V40,0,-1)+1</f>
        <v>3</v>
      </c>
      <c s="1356">
        <f ca="1">OFFSET(W40,0,-1)+1</f>
        <v>4</v>
      </c>
      <c s="1356">
        <f ca="1">OFFSET(X40,0,-1)+1</f>
        <v>5</v>
      </c>
      <c s="1356">
        <f ca="1">OFFSET(Y40,0,-1)+1</f>
        <v>6</v>
      </c>
      <c s="2275">
        <f ca="1">OFFSET(Z40,0,-1)+1</f>
        <v>7</v>
      </c>
      <c s="2275"/>
      <c s="1356">
        <f ca="1">OFFSET(AB40,0,-2)+1</f>
        <v>8</v>
      </c>
      <c s="1356">
        <f ca="1">OFFSET(AC40,0,-1)+1</f>
        <v>9</v>
      </c>
      <c s="1356">
        <f ca="1">OFFSET(AD40,0,-1)+1</f>
        <v>10</v>
      </c>
      <c s="1356">
        <f ca="1">OFFSET(AE40,0,-1)+1</f>
        <v>11</v>
      </c>
      <c s="1356">
        <f ca="1">OFFSET(AF40,0,-1)+1</f>
        <v>12</v>
      </c>
      <c s="2275">
        <f ca="1">OFFSET(AG40,0,-1)+1</f>
        <v>13</v>
      </c>
      <c s="2275"/>
      <c s="1356">
        <f ca="1">OFFSET(AI40,0,-2)+1</f>
        <v>14</v>
      </c>
      <c s="1248">
        <f ca="1">OFFSET(AJ40,0,-1)</f>
        <v>14</v>
      </c>
      <c s="1356">
        <f ca="1">OFFSET(AK40,0,-1)+1</f>
        <v>15</v>
      </c>
      <c s="514"/>
      <c s="514"/>
      <c s="514"/>
      <c s="514"/>
      <c s="514"/>
      <c s="499">
        <v>0</v>
      </c>
    </row>
    <row r="41" spans="1:43" ht="24" customHeight="1">
      <c r="A41" s="1366" t="s">
        <v>226</v>
      </c>
      <c s="1366"/>
      <c s="1366"/>
      <c s="1366"/>
      <c s="2261">
        <v>1</v>
      </c>
      <c s="1366"/>
      <c s="1366"/>
      <c s="1366"/>
      <c s="1366"/>
      <c s="1366"/>
      <c s="1366"/>
      <c s="1367"/>
      <c s="1368"/>
      <c s="1368"/>
      <c s="1368"/>
      <c s="364"/>
      <c s="363"/>
      <c s="358"/>
      <c s="1361">
        <f>INDEX(PT_DIFFERENTIATION_NUM_NTAR,MATCH(A41,PT_DIFFERENTIATION_NTAR_ID,0))</f>
        <v>0</v>
      </c>
      <c s="301" t="s">
        <v>125</v>
      </c>
      <c s="303"/>
      <c s="2245"/>
      <c s="2246"/>
      <c s="2246"/>
      <c s="2246"/>
      <c s="2246"/>
      <c s="2246"/>
      <c s="2247"/>
      <c s="2245" t="str">
        <f>INDEX(PT_DIFFERENTIATION_NTAR,MATCH(A41,PT_DIFFERENTIATION_NTAR_ID,0))</f>
        <v/>
      </c>
      <c s="2246"/>
      <c s="2246"/>
      <c s="2246"/>
      <c s="2246"/>
      <c s="2246"/>
      <c s="2246"/>
      <c s="2247"/>
      <c s="126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3"/>
      <c s="503" t="str">
        <f>IF(T41="","",T41)</f>
        <v>Наименование тарифа</v>
      </c>
      <c s="503"/>
      <c s="503"/>
      <c s="1158">
        <v>23</v>
      </c>
    </row>
    <row r="42" spans="1:43" ht="24" customHeight="1">
      <c r="A42" s="1366" t="s">
        <v>226</v>
      </c>
      <c s="1366" t="s">
        <v>227</v>
      </c>
      <c s="1366"/>
      <c s="1366"/>
      <c s="2262"/>
      <c s="2261">
        <v>1</v>
      </c>
      <c s="1366"/>
      <c s="1366"/>
      <c s="1366"/>
      <c s="1366"/>
      <c s="1366"/>
      <c s="1367"/>
      <c s="1368"/>
      <c s="1368"/>
      <c s="1368"/>
      <c s="1359"/>
      <c s="355"/>
      <c s="356"/>
      <c s="1361" t="str">
        <f>INDEX(PT_DIFFERENTIATION_NUM_TER,MATCH(B42,PT_DIFFERENTIATION_TER_ID,0))</f>
        <v>.</v>
      </c>
      <c s="311" t="s">
        <v>397</v>
      </c>
      <c s="303"/>
      <c s="2245"/>
      <c s="2246"/>
      <c s="2246"/>
      <c s="2246"/>
      <c s="2246"/>
      <c s="2246"/>
      <c s="2247"/>
      <c s="2245" t="str">
        <f>INDEX(PT_DIFFERENTIATION_TER,MATCH(B42,PT_DIFFERENTIATION_TER_ID,0))</f>
        <v/>
      </c>
      <c s="2246"/>
      <c s="2246"/>
      <c s="2246"/>
      <c s="2246"/>
      <c s="2246"/>
      <c s="2246"/>
      <c s="2247"/>
      <c s="1261" t="s">
        <v>398</v>
      </c>
      <c r="AM42" s="503"/>
      <c s="503" t="str">
        <f>IF(T42="","",T42)</f>
        <v>Территория действия тарифа</v>
      </c>
      <c s="503"/>
      <c s="503"/>
      <c s="1158">
        <v>23</v>
      </c>
    </row>
    <row r="43" spans="1:43" ht="24" customHeight="1">
      <c r="A43" s="1366" t="s">
        <v>226</v>
      </c>
      <c s="1366" t="s">
        <v>227</v>
      </c>
      <c s="1366" t="s">
        <v>228</v>
      </c>
      <c s="1366"/>
      <c s="2262"/>
      <c s="2262"/>
      <c s="2261">
        <v>1</v>
      </c>
      <c s="1366"/>
      <c s="1366"/>
      <c s="1366"/>
      <c s="1366"/>
      <c s="1367"/>
      <c s="1368"/>
      <c s="1368"/>
      <c s="1368"/>
      <c s="357"/>
      <c s="355"/>
      <c s="356"/>
      <c s="1361" t="str">
        <f>INDEX(PT_DIFFERENTIATION_NUM_CS,MATCH(C43,PT_DIFFERENTIATION_CS_ID,0))</f>
        <v>..</v>
      </c>
      <c s="312" t="s">
        <v>481</v>
      </c>
      <c s="303"/>
      <c s="2245"/>
      <c s="2246"/>
      <c s="2246"/>
      <c s="2246"/>
      <c s="2246"/>
      <c s="2246"/>
      <c s="2247"/>
      <c s="2245" t="str">
        <f>INDEX(PT_DIFFERENTIATION_CS,MATCH(C43,PT_DIFFERENTIATION_CS_ID,0))</f>
        <v/>
      </c>
      <c s="2246"/>
      <c s="2246"/>
      <c s="2246"/>
      <c s="2246"/>
      <c s="2246"/>
      <c s="2246"/>
      <c s="2247"/>
      <c s="1261" t="s">
        <v>482</v>
      </c>
      <c r="AM43" s="503"/>
      <c s="503" t="str">
        <f>IF(T43="","",T43)</f>
        <v>Наименование централизованной системы холодного водоснабжения</v>
      </c>
      <c s="503"/>
      <c s="503"/>
      <c s="1158">
        <v>23</v>
      </c>
    </row>
    <row r="44" spans="1:43" ht="24" customHeight="1">
      <c r="A44" s="1366" t="s">
        <v>226</v>
      </c>
      <c s="1366" t="s">
        <v>227</v>
      </c>
      <c s="1366" t="s">
        <v>228</v>
      </c>
      <c s="1366" t="s">
        <v>495</v>
      </c>
      <c s="2262"/>
      <c s="2262"/>
      <c s="2262"/>
      <c s="2262"/>
      <c s="2259" t="str">
        <f>S43&amp;".1"</f>
        <v>...1</v>
      </c>
      <c s="1366"/>
      <c s="1366"/>
      <c s="1367"/>
      <c r="P44" s="2260">
        <v>1</v>
      </c>
      <c s="1357"/>
      <c s="359"/>
      <c s="1361" t="str">
        <f>$I44</f>
        <v>...1</v>
      </c>
      <c s="288" t="s">
        <v>483</v>
      </c>
      <c s="303"/>
      <c s="2353"/>
      <c s="2354"/>
      <c s="2354"/>
      <c s="2354"/>
      <c s="2354"/>
      <c s="2354"/>
      <c s="2355"/>
      <c s="2356"/>
      <c s="2357"/>
      <c s="2357"/>
      <c s="2357"/>
      <c s="2357"/>
      <c s="2357"/>
      <c s="2357"/>
      <c s="2358"/>
      <c s="1261" t="s">
        <v>484</v>
      </c>
      <c r="AM44" s="503"/>
      <c s="503" t="str">
        <f>IF(T44="","",T44)</f>
        <v>Наименование признака дифференциации</v>
      </c>
      <c s="503"/>
      <c s="503"/>
      <c s="1158">
        <v>23</v>
      </c>
    </row>
    <row r="45" spans="1:43" ht="24" customHeight="1">
      <c r="A45" s="1366" t="s">
        <v>226</v>
      </c>
      <c s="1366" t="s">
        <v>227</v>
      </c>
      <c s="1366" t="s">
        <v>228</v>
      </c>
      <c s="1366" t="s">
        <v>495</v>
      </c>
      <c s="2262"/>
      <c s="2262"/>
      <c s="2262"/>
      <c s="2262"/>
      <c s="2289"/>
      <c s="2259" t="str">
        <f>I44&amp;".1"</f>
        <v>...1.1</v>
      </c>
      <c s="1366"/>
      <c s="1367" t="s">
        <v>406</v>
      </c>
      <c r="P45" s="2260"/>
      <c s="2260">
        <v>1</v>
      </c>
      <c s="360"/>
      <c s="1361" t="str">
        <f>$J45</f>
        <v>...1.1</v>
      </c>
      <c s="289" t="s">
        <v>407</v>
      </c>
      <c s="303"/>
      <c s="2248"/>
      <c s="2249"/>
      <c s="2249"/>
      <c s="2249"/>
      <c s="2249"/>
      <c s="2249"/>
      <c s="2250"/>
      <c s="2248"/>
      <c s="2249"/>
      <c s="2249"/>
      <c s="2249"/>
      <c s="2249"/>
      <c s="2249"/>
      <c s="2249"/>
      <c s="2250"/>
      <c s="1310" t="s">
        <v>485</v>
      </c>
      <c r="AM45" s="503"/>
      <c s="503" t="str">
        <f>IF(T45="","",T45)</f>
        <v>Группа потребителей</v>
      </c>
      <c s="503"/>
      <c s="503"/>
      <c s="1158">
        <v>23</v>
      </c>
    </row>
    <row r="46" spans="1:43" ht="24" customHeight="1">
      <c r="A46" s="1366" t="s">
        <v>226</v>
      </c>
      <c s="1366" t="s">
        <v>227</v>
      </c>
      <c s="1366" t="s">
        <v>228</v>
      </c>
      <c s="1366" t="s">
        <v>495</v>
      </c>
      <c s="2262"/>
      <c s="2262"/>
      <c s="2262"/>
      <c s="2262"/>
      <c s="2289"/>
      <c s="2289"/>
      <c s="2259" t="str">
        <f>J45&amp;".1"</f>
        <v>...1.1.1</v>
      </c>
      <c s="1367"/>
      <c r="P46" s="2260"/>
      <c s="2260"/>
      <c s="360">
        <v>1</v>
      </c>
      <c s="1361" t="str">
        <f>$K46</f>
        <v>...1.1.1</v>
      </c>
      <c s="1440"/>
      <c s="303"/>
      <c s="1363"/>
      <c s="1363"/>
      <c s="1364"/>
      <c s="2270"/>
      <c s="2271" t="s">
        <v>65</v>
      </c>
      <c s="2270"/>
      <c s="2271" t="s">
        <v>65</v>
      </c>
      <c s="754"/>
      <c s="754"/>
      <c s="1260"/>
      <c s="2268"/>
      <c s="2110" t="s">
        <v>65</v>
      </c>
      <c s="2290"/>
      <c s="2110" t="s">
        <v>19</v>
      </c>
      <c s="1441"/>
      <c s="235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s="514">
        <f>STRCHECKDATE(V47:AJ47)</f>
      </c>
      <c s="503"/>
      <c s="503" t="str">
        <f>IF(T46="","",T46)</f>
        <v/>
      </c>
      <c s="503"/>
      <c s="503"/>
      <c s="1158">
        <v>23</v>
      </c>
    </row>
    <row r="47" spans="1:43" ht="0" customHeight="1">
      <c r="A47" s="1366" t="s">
        <v>226</v>
      </c>
      <c s="1366" t="s">
        <v>227</v>
      </c>
      <c s="1366" t="s">
        <v>228</v>
      </c>
      <c s="1366" t="s">
        <v>495</v>
      </c>
      <c s="2262"/>
      <c s="2262"/>
      <c s="2262"/>
      <c s="2262"/>
      <c s="2289"/>
      <c s="2289"/>
      <c s="2259"/>
      <c s="1367"/>
      <c r="P47" s="2260"/>
      <c s="2260"/>
      <c s="360"/>
      <c s="1362"/>
      <c s="303"/>
      <c s="303"/>
      <c s="1363"/>
      <c s="1363"/>
      <c s="331" t="str">
        <f>Y46&amp;"-"&amp;AA46</f>
        <v>-</v>
      </c>
      <c s="2271"/>
      <c s="2271"/>
      <c s="2271"/>
      <c s="2271"/>
      <c s="328"/>
      <c s="328"/>
      <c s="331" t="str">
        <f>AF46&amp;"-"&amp;AH46</f>
        <v>-</v>
      </c>
      <c s="2269"/>
      <c s="2110"/>
      <c s="2291"/>
      <c s="2110"/>
      <c s="1442"/>
      <c s="2352"/>
      <c r="AM47" s="503"/>
      <c s="503" t="str">
        <f>IF(T47="","",T47)</f>
        <v/>
      </c>
      <c s="503"/>
      <c s="503"/>
      <c s="1158">
        <v>0</v>
      </c>
    </row>
    <row r="48" spans="1:43" ht="21" customHeight="1">
      <c r="A48" s="1366" t="s">
        <v>226</v>
      </c>
      <c s="1366" t="s">
        <v>227</v>
      </c>
      <c s="1366" t="s">
        <v>228</v>
      </c>
      <c s="1366" t="s">
        <v>495</v>
      </c>
      <c s="2262"/>
      <c s="2262"/>
      <c s="2262"/>
      <c s="2262"/>
      <c s="2289"/>
      <c s="2259"/>
      <c s="1366"/>
      <c s="1367"/>
      <c r="P48" s="2260"/>
      <c s="2260"/>
      <c s="359"/>
      <c s="1281"/>
      <c s="290" t="s">
        <v>486</v>
      </c>
      <c s="370"/>
      <c s="370"/>
      <c s="370"/>
      <c s="370"/>
      <c s="370"/>
      <c s="370"/>
      <c s="370"/>
      <c s="370"/>
      <c s="370"/>
      <c s="370"/>
      <c s="370"/>
      <c s="370"/>
      <c s="370"/>
      <c s="370"/>
      <c s="370"/>
      <c s="370"/>
      <c s="1261" t="s">
        <v>487</v>
      </c>
      <c r="AM48" s="503"/>
      <c s="503" t="str">
        <f>IF(T48="","",T48)</f>
        <v>Добавить значение признака дифференциации</v>
      </c>
      <c s="503"/>
      <c s="503"/>
      <c s="1158">
        <v>20</v>
      </c>
    </row>
    <row r="49" spans="1:43" ht="22.05" customHeight="1">
      <c r="A49" s="1366" t="s">
        <v>226</v>
      </c>
      <c s="1366" t="s">
        <v>227</v>
      </c>
      <c s="1366" t="s">
        <v>228</v>
      </c>
      <c s="1366" t="s">
        <v>495</v>
      </c>
      <c s="2262"/>
      <c s="2262"/>
      <c s="2262"/>
      <c s="2262"/>
      <c s="2259"/>
      <c s="1366"/>
      <c s="1366"/>
      <c s="1367"/>
      <c r="P49" s="2260"/>
      <c s="1357"/>
      <c s="359"/>
      <c s="1281"/>
      <c s="368" t="s">
        <v>412</v>
      </c>
      <c s="370"/>
      <c s="370"/>
      <c s="370"/>
      <c s="370"/>
      <c s="370"/>
      <c s="370"/>
      <c s="370"/>
      <c s="369"/>
      <c s="370"/>
      <c s="370"/>
      <c s="370"/>
      <c s="370"/>
      <c s="370"/>
      <c s="370"/>
      <c s="369"/>
      <c s="370"/>
      <c s="1443"/>
      <c r="AM49" s="503"/>
      <c s="503" t="str">
        <f>IF(T49="","",T49)</f>
        <v>Добавить группу потребителей</v>
      </c>
      <c s="503"/>
      <c s="503"/>
      <c s="1158">
        <v>21</v>
      </c>
    </row>
    <row r="50" spans="1:43" ht="22.05" customHeight="1">
      <c r="A50" s="1366" t="s">
        <v>226</v>
      </c>
      <c s="1366" t="s">
        <v>227</v>
      </c>
      <c s="1366" t="s">
        <v>228</v>
      </c>
      <c s="1366" t="s">
        <v>495</v>
      </c>
      <c s="2262"/>
      <c s="2262"/>
      <c s="2262"/>
      <c s="2261"/>
      <c s="1366"/>
      <c s="1366"/>
      <c s="1366"/>
      <c s="1367"/>
      <c s="1368"/>
      <c s="1368"/>
      <c s="540"/>
      <c s="363"/>
      <c s="378"/>
      <c s="358"/>
      <c s="1281"/>
      <c s="375" t="s">
        <v>488</v>
      </c>
      <c s="370"/>
      <c s="370"/>
      <c s="370"/>
      <c s="370"/>
      <c s="370"/>
      <c s="370"/>
      <c s="370"/>
      <c s="369"/>
      <c s="370"/>
      <c s="370"/>
      <c s="370"/>
      <c s="370"/>
      <c s="370"/>
      <c s="370"/>
      <c s="369"/>
      <c s="370"/>
      <c s="306"/>
      <c r="AM50" s="503"/>
      <c s="503" t="str">
        <f>IF(T50="","",T50)</f>
        <v>Добавить наименование признака дифференциации</v>
      </c>
      <c s="503"/>
      <c s="503"/>
      <c s="1158">
        <v>21</v>
      </c>
    </row>
    <row r="51" spans="1:43" s="1645" customFormat="1" ht="0" customHeight="1">
      <c r="A51" s="1346" t="s">
        <v>226</v>
      </c>
      <c s="1346" t="s">
        <v>227</v>
      </c>
      <c s="1317"/>
      <c s="1317"/>
      <c s="2262"/>
      <c s="2261"/>
      <c s="1317"/>
      <c s="1317"/>
      <c s="1317"/>
      <c s="1317"/>
      <c s="1317"/>
      <c s="1429"/>
      <c s="1324"/>
      <c s="1324"/>
      <c r="P51" s="1319"/>
      <c s="1320"/>
      <c s="1319"/>
      <c s="1325"/>
      <c s="1328" t="s">
        <v>415</v>
      </c>
      <c s="1327"/>
      <c s="1327"/>
      <c s="1327"/>
      <c s="1327"/>
      <c s="1327"/>
      <c s="1327"/>
      <c s="1327"/>
      <c s="1327"/>
      <c s="1327"/>
      <c s="1327"/>
      <c s="1327"/>
      <c s="1327"/>
      <c s="1327"/>
      <c s="1327"/>
      <c s="1327"/>
      <c s="1327"/>
      <c s="1327"/>
      <c r="AM51" s="792"/>
      <c s="792" t="str">
        <f>IF(T51="","",T51)</f>
        <v>Добавить централизованную систему для дифференциации</v>
      </c>
      <c s="792"/>
      <c s="792"/>
      <c s="521">
        <v>0</v>
      </c>
    </row>
    <row r="52" spans="1:43" s="1645" customFormat="1" ht="0" customHeight="1">
      <c r="A52" s="1346" t="s">
        <v>226</v>
      </c>
      <c s="1346"/>
      <c s="1346"/>
      <c s="1346"/>
      <c s="2261"/>
      <c s="1346"/>
      <c s="1346"/>
      <c s="1346"/>
      <c s="1346"/>
      <c s="1346"/>
      <c s="1346"/>
      <c s="1349"/>
      <c s="1324"/>
      <c s="1324"/>
      <c s="521"/>
      <c s="383"/>
      <c s="1347"/>
      <c s="383"/>
      <c s="1325"/>
      <c s="1328" t="s">
        <v>416</v>
      </c>
      <c s="1327"/>
      <c s="1327"/>
      <c s="1327"/>
      <c s="1327"/>
      <c s="1327"/>
      <c s="1327"/>
      <c s="1327"/>
      <c s="1327"/>
      <c s="1327"/>
      <c s="1327"/>
      <c s="1327"/>
      <c s="1327"/>
      <c s="1327"/>
      <c s="1327"/>
      <c s="1327"/>
      <c s="1327"/>
      <c s="1327"/>
      <c r="AM52" s="503"/>
      <c s="503" t="str">
        <f>IF(T52="","",T52)</f>
        <v>Добавить территорию для дифференциации</v>
      </c>
      <c s="503"/>
      <c s="503"/>
      <c s="514">
        <v>0</v>
      </c>
    </row>
    <row r="53" spans="1:43" s="1645" customFormat="1" ht="0" customHeight="1">
      <c r="A53" s="1317"/>
      <c s="1317"/>
      <c s="1317"/>
      <c s="1317"/>
      <c s="1346"/>
      <c s="1317"/>
      <c s="1317"/>
      <c s="1317"/>
      <c s="1317"/>
      <c s="1317"/>
      <c s="1317"/>
      <c s="1429"/>
      <c s="1324"/>
      <c s="1324"/>
      <c r="P53" s="1319"/>
      <c s="1320"/>
      <c s="1319"/>
      <c s="1325"/>
      <c s="1328" t="s">
        <v>448</v>
      </c>
      <c s="1327"/>
      <c s="1327"/>
      <c s="1327"/>
      <c s="1327"/>
      <c s="1327"/>
      <c s="1327"/>
      <c s="1327"/>
      <c s="1327"/>
      <c s="1327"/>
      <c s="1327"/>
      <c s="1327"/>
      <c s="1327"/>
      <c s="1327"/>
      <c s="1327"/>
      <c s="1327"/>
      <c s="1327"/>
      <c s="1327"/>
      <c r="AM53" s="792"/>
      <c s="792" t="str">
        <f>IF(T53="","",T53)</f>
        <v>Добавить наименование тарифа</v>
      </c>
      <c s="792"/>
      <c s="792"/>
      <c s="521">
        <v>0</v>
      </c>
    </row>
    <row r="54" spans="13:43" ht="11.55" customHeight="1">
      <c r="M54" s="1163"/>
      <c s="1163"/>
      <c s="540"/>
      <c s="1158"/>
      <c s="1158"/>
      <c s="1158"/>
      <c s="1158"/>
      <c r="AL54" s="1158"/>
      <c s="1158"/>
      <c s="1158"/>
      <c s="1158"/>
      <c s="1158"/>
      <c s="1158">
        <v>11</v>
      </c>
    </row>
    <row r="55" spans="15:43" ht="14.7" customHeight="1">
      <c r="O55" s="540"/>
      <c r="S55" s="1256"/>
      <c s="2288"/>
      <c s="2288"/>
      <c s="2288"/>
      <c s="2288"/>
      <c s="2288"/>
      <c s="2288"/>
      <c s="2288"/>
      <c s="2288"/>
      <c s="2288"/>
      <c s="2288"/>
      <c s="2288"/>
      <c s="2288"/>
      <c s="2288"/>
      <c s="2288"/>
      <c s="2288"/>
      <c s="2288"/>
      <c s="2288"/>
      <c s="2288"/>
      <c r="AQ55" s="1158">
        <v>14</v>
      </c>
    </row>
    <row r="56" spans="15:43" ht="14.7" customHeight="1">
      <c r="O56" s="540"/>
      <c r="AQ56" s="1158">
        <v>14</v>
      </c>
    </row>
    <row r="57" spans="15:43" ht="14.7" customHeight="1">
      <c r="O57" s="540"/>
      <c r="S57" s="1256"/>
      <c s="2288"/>
      <c s="2288"/>
      <c s="2288"/>
      <c s="2288"/>
      <c s="2288"/>
      <c s="2288"/>
      <c s="2288"/>
      <c s="2288"/>
      <c s="2288"/>
      <c s="2288"/>
      <c s="2288"/>
      <c s="2288"/>
      <c s="2288"/>
      <c s="2288"/>
      <c s="2288"/>
      <c s="2288"/>
      <c s="2288"/>
      <c s="2288"/>
      <c r="AQ57" s="1158">
        <v>14</v>
      </c>
    </row>
    <row r="58" spans="1:43" ht="22.5" customHeight="1" hidden="1">
      <c r="A58" s="1163" t="s">
        <v>81</v>
      </c>
      <c s="1163">
        <v>0</v>
      </c>
      <c s="1163">
        <v>0</v>
      </c>
      <c s="1163">
        <v>0</v>
      </c>
      <c s="1163">
        <v>0</v>
      </c>
      <c s="1163">
        <v>0</v>
      </c>
      <c s="1163">
        <v>0</v>
      </c>
      <c s="1163">
        <v>0</v>
      </c>
      <c s="1163">
        <v>0</v>
      </c>
      <c s="1163">
        <v>0</v>
      </c>
      <c s="1163">
        <v>0</v>
      </c>
      <c s="1424">
        <v>0</v>
      </c>
      <c s="1365">
        <v>0</v>
      </c>
      <c s="1365">
        <v>0</v>
      </c>
      <c s="1365">
        <v>0</v>
      </c>
      <c s="1354">
        <v>3</v>
      </c>
      <c s="347">
        <v>3</v>
      </c>
      <c s="347">
        <v>3</v>
      </c>
      <c s="584">
        <v>12</v>
      </c>
      <c s="1158">
        <v>35</v>
      </c>
      <c s="1158">
        <v>0</v>
      </c>
      <c s="1158">
        <v>0</v>
      </c>
      <c s="1158">
        <v>0</v>
      </c>
      <c s="1158">
        <v>0</v>
      </c>
      <c s="1158">
        <v>0</v>
      </c>
      <c s="1158">
        <v>0</v>
      </c>
      <c s="1158">
        <v>0</v>
      </c>
      <c s="1158">
        <v>0</v>
      </c>
      <c s="1158">
        <v>24</v>
      </c>
      <c s="1158">
        <v>24</v>
      </c>
      <c s="1158">
        <v>24</v>
      </c>
      <c s="1158">
        <v>11</v>
      </c>
      <c s="1158">
        <v>3</v>
      </c>
      <c s="1158">
        <v>11</v>
      </c>
      <c s="1158">
        <v>0</v>
      </c>
      <c s="1158">
        <v>4</v>
      </c>
      <c s="1158">
        <v>115</v>
      </c>
      <c s="514">
        <v>10</v>
      </c>
      <c s="514">
        <v>10</v>
      </c>
      <c s="514">
        <v>10</v>
      </c>
      <c s="514">
        <v>10</v>
      </c>
      <c s="514">
        <v>10</v>
      </c>
      <c s="1158">
        <v>23</v>
      </c>
    </row>
  </sheetData>
  <sheetProtection formatColumns="0" formatRows="0" insertRows="0" deleteColumns="0" deleteRows="0" sort="0" autoFilter="0"/>
  <mergeCells count="101">
    <mergeCell ref="E2:E13"/>
    <mergeCell ref="V2:AB2"/>
    <mergeCell ref="AC2:AJ2"/>
    <mergeCell ref="F3:F12"/>
    <mergeCell ref="V3:AB3"/>
    <mergeCell ref="AC3:AJ3"/>
    <mergeCell ref="G4:G11"/>
    <mergeCell ref="V4:AB4"/>
    <mergeCell ref="AC4:AJ4"/>
    <mergeCell ref="H5:H11"/>
    <mergeCell ref="AI7:AI8"/>
    <mergeCell ref="K7:K8"/>
    <mergeCell ref="Y7:Y8"/>
    <mergeCell ref="Z7:Z8"/>
    <mergeCell ref="AA7:AA8"/>
    <mergeCell ref="AB7:AB8"/>
    <mergeCell ref="I5:I10"/>
    <mergeCell ref="P5:P10"/>
    <mergeCell ref="V5:AB5"/>
    <mergeCell ref="AC5:AJ5"/>
    <mergeCell ref="J6:J9"/>
    <mergeCell ref="Q6:Q9"/>
    <mergeCell ref="V6:AB6"/>
    <mergeCell ref="AC6:AJ6"/>
    <mergeCell ref="AK7:AK8"/>
    <mergeCell ref="S24:AH24"/>
    <mergeCell ref="S25:AH25"/>
    <mergeCell ref="S27:T27"/>
    <mergeCell ref="V27:AA27"/>
    <mergeCell ref="AC27:AH27"/>
    <mergeCell ref="S28:T28"/>
    <mergeCell ref="V28:AA28"/>
    <mergeCell ref="AC28:AH28"/>
    <mergeCell ref="AG7:AG8"/>
    <mergeCell ref="AH7:AH8"/>
    <mergeCell ref="AF15:AF16"/>
    <mergeCell ref="AG15:AG16"/>
    <mergeCell ref="AH15:AH16"/>
    <mergeCell ref="AI15:AI16"/>
    <mergeCell ref="AF7:AF8"/>
    <mergeCell ref="AC29:AH29"/>
    <mergeCell ref="S30:T30"/>
    <mergeCell ref="V30:AA30"/>
    <mergeCell ref="AC30:AH30"/>
    <mergeCell ref="V35:AB35"/>
    <mergeCell ref="AC35:AI35"/>
    <mergeCell ref="S36:AJ36"/>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S29:T29"/>
    <mergeCell ref="V29:AA29"/>
    <mergeCell ref="AJ37:AJ39"/>
    <mergeCell ref="W38:X38"/>
    <mergeCell ref="E41:E52"/>
    <mergeCell ref="V41:AB41"/>
    <mergeCell ref="AC41:AJ41"/>
    <mergeCell ref="F42:F51"/>
    <mergeCell ref="V42:AB42"/>
    <mergeCell ref="AC42:AJ42"/>
    <mergeCell ref="G43:G50"/>
    <mergeCell ref="Y38:AA38"/>
    <mergeCell ref="AD38:AE38"/>
    <mergeCell ref="AF38:AH38"/>
    <mergeCell ref="Z39:AA39"/>
    <mergeCell ref="H44:H50"/>
    <mergeCell ref="I44:I49"/>
    <mergeCell ref="P44:P49"/>
    <mergeCell ref="V44:AB44"/>
    <mergeCell ref="AC44:AJ44"/>
    <mergeCell ref="J45:J48"/>
    <mergeCell ref="AG39:AH39"/>
    <mergeCell ref="Z40:AA40"/>
    <mergeCell ref="AG40:AH40"/>
    <mergeCell ref="K46:K47"/>
    <mergeCell ref="Y46:Y47"/>
    <mergeCell ref="V43:AB43"/>
    <mergeCell ref="AC43:AJ43"/>
    <mergeCell ref="T55:AK55"/>
    <mergeCell ref="T57:AK57"/>
    <mergeCell ref="Q45:Q48"/>
    <mergeCell ref="V45:AB45"/>
    <mergeCell ref="AC45:AJ45"/>
    <mergeCell ref="Z46:Z47"/>
    <mergeCell ref="AA46:AA47"/>
    <mergeCell ref="AB46:AB47"/>
    <mergeCell ref="AF46:AF47"/>
    <mergeCell ref="AG46:AG47"/>
    <mergeCell ref="AK46:AK47"/>
    <mergeCell ref="AH46:AH47"/>
    <mergeCell ref="AI46:AI47"/>
  </mergeCells>
  <dataValidations count="8">
    <dataValidation type="list" allowBlank="1" showInputMessage="1" prompt="Выберите значение из списка" errorTitle="Ошибка" error="Выберите значение из списка" sqref="V65577:AJ65577 V983081:AJ983081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65580:AK65586 S131116:AK131122 S196652:AK196658 S262188:AK262194 S327724:AK327730 S393260:AK393266 S458796:AK458802 S524332:AK524338 S589868:AK589874 S655404:AK655410 S720940:AK720946 S786476:AK786482 S852012:AK852018 S917548:AK917554 S983084:AK983090"/>
    <dataValidation allowBlank="1" showInputMessage="1" showErrorMessage="1" prompt="Для выбора выполните двойной щелчок левой клавиши мыши по соответствующей ячейке." sqref="Z7 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7 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C5:AJ5 AK65572:AK65579 AK131108:AK131115 AK196644:AK196651 AK262180:AK262187 AK327716:AK327723 AK393252:AK393259 AK458788:AK458795 AK524324:AK524331 AK589860:AK589867 AK655396:AK655403 AK720932:AK720939 AK786468:AK786475 AK852004:AK852011 AK917540:AK917547 AK983076:AK983083 T46 T7 AC44:AJ44">
      <formula1>900</formula1>
    </dataValidation>
    <dataValidation type="list" allowBlank="1" showInputMessage="1" showErrorMessage="1" errorTitle="Ошибка" error="Выберите значение из списка" sqref="V65576 V983080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8 X65579 X131115 X196651 X262187 X327723 X393259 X458795 X524331 X589867 X655403 X720939 X786475 X852011 X917547 X983083 AE16 AE65579 AE131115 AE196651 AE262187 AE327723 AE393259 AE458795 AE524331 AE589867 AE655403 AE720939 AE786475 AE852011 AE917547 AE983083 AE47 AE8 X47"/>
  </dataValidations>
  <pageMargins left="0.7" right="0.7" top="0.75" bottom="0.75" header="0.3" footer="0.3"/>
  <pageSetup orientation="portrait" paperSize="9"/>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m="http://schemas.microsoft.com/office/excel/2006/main" xmlns:x14ac="http://schemas.microsoft.com/office/spreadsheetml/2009/9/ac" xmlns:xr="http://schemas.microsoft.com/office/spreadsheetml/2014/revision" xmlns:xr2="http://schemas.microsoft.com/office/spreadsheetml/2015/revision2" xmlns:xr3="http://schemas.microsoft.com/office/spreadsheetml/2016/revision3" xr:uid="{7AFC0E0A-E7CD-1BFE-B735-1D0CF406D6CE}" mc:Ignorable="x14ac xr xr2 xr3">
  <sheetPr>
    <tabColor theme="6" tint="0.400000005960464"/>
  </sheetPr>
  <dimension ref="A1:AQ58"/>
  <sheetViews>
    <sheetView showGridLines="0" zoomScale="90" zoomScaleNormal="90" workbookViewId="0" topLeftCell="A1">
      <pane xSplit="28" ySplit="40" topLeftCell="AC41" activePane="bottomRight" state="frozen"/>
      <selection pane="topLeft" activeCell="A1" sqref="A1"/>
      <selection pane="bottomLeft" activeCell="A41" sqref="A41"/>
      <selection pane="topRight" activeCell="AC1" sqref="AC1"/>
      <selection pane="bottomRight" activeCell="A1" sqref="A1"/>
    </sheetView>
  </sheetViews>
  <sheetFormatPr defaultColWidth="10.5742857142857" defaultRowHeight="14.25" customHeight="1"/>
  <cols>
    <col min="1" max="1" width="10.5714285714286" style="1369" hidden="1"/>
    <col min="2" max="2" width="11" style="1369" hidden="1" customWidth="1"/>
    <col min="3" max="3" width="10.5714285714286" style="1369" hidden="1"/>
    <col min="4" max="4" width="11.8571428571429" style="1369" hidden="1" customWidth="1"/>
    <col min="5" max="5" width="10" style="1369" hidden="1" customWidth="1"/>
    <col min="6" max="6" width="8.71428571428571" style="1369" hidden="1" customWidth="1"/>
    <col min="7" max="7" width="7.57142857142857" style="1369" hidden="1" customWidth="1"/>
    <col min="8" max="8" width="11.4285714285714" style="1369" hidden="1" customWidth="1"/>
    <col min="9" max="9" width="14.1428571428571" style="1369" hidden="1" customWidth="1"/>
    <col min="10" max="10" width="9.85714285714286" style="1369" hidden="1" customWidth="1"/>
    <col min="11" max="11" width="14.7142857142857" style="1369" hidden="1" customWidth="1"/>
    <col min="12" max="12" width="19.1428571428571" style="2610" hidden="1" customWidth="1"/>
    <col min="13" max="14" width="12.2857142857143" style="1779" hidden="1" customWidth="1"/>
    <col min="15" max="15" width="23.4285714285714" style="1779" hidden="1" customWidth="1"/>
    <col min="16" max="16" width="3" style="2400" customWidth="1"/>
    <col min="17" max="18" width="3" style="347" customWidth="1"/>
    <col min="19" max="19" width="12" style="2410" customWidth="1"/>
    <col min="20" max="20" width="35" style="1638" customWidth="1"/>
    <col min="21" max="21" width="0.142857142857143" style="1638" customWidth="1"/>
    <col min="22" max="24" width="24.7142857142857" style="1638" hidden="1" customWidth="1"/>
    <col min="25" max="25" width="11.7142857142857" style="1638" hidden="1" customWidth="1"/>
    <col min="26" max="26" width="3.71428571428571" style="1638" hidden="1" customWidth="1"/>
    <col min="27" max="27" width="11.7142857142857" style="1638" hidden="1" customWidth="1"/>
    <col min="28" max="28" width="8.57142857142857" style="1638" hidden="1" customWidth="1"/>
    <col min="29" max="29" width="24.7142857142857" style="1638" customWidth="1"/>
    <col min="30" max="31" width="24" style="1638" customWidth="1"/>
    <col min="32" max="32" width="11" style="1638" customWidth="1"/>
    <col min="33" max="33" width="3.71428571428571" style="1638" customWidth="1"/>
    <col min="34" max="34" width="11" style="1638" customWidth="1"/>
    <col min="35" max="35" width="8.57142857142857" style="1638" hidden="1" customWidth="1"/>
    <col min="36" max="36" width="4" style="1638" customWidth="1"/>
    <col min="37" max="37" width="115" style="1638" customWidth="1"/>
    <col min="38" max="42" width="10" style="1645" customWidth="1"/>
    <col min="43" max="43" width="10.5714285714286" style="1638" hidden="1"/>
  </cols>
  <sheetData>
    <row r="1" spans="24:43" ht="22.5" customHeight="1" hidden="1">
      <c r="X1" s="330"/>
      <c s="330"/>
      <c r="AE1" s="330"/>
      <c s="330"/>
      <c r="AQ1" s="1158" t="s">
        <v>14</v>
      </c>
    </row>
    <row r="2" spans="1:43" ht="23.25" customHeight="1" hidden="1">
      <c r="A2" s="1366"/>
      <c s="1366"/>
      <c s="1366"/>
      <c s="1366"/>
      <c s="2261">
        <v>1</v>
      </c>
      <c s="1366"/>
      <c s="1366"/>
      <c s="1366"/>
      <c s="1366"/>
      <c s="1366"/>
      <c s="1366"/>
      <c s="1367"/>
      <c s="1368"/>
      <c s="1368"/>
      <c s="1368"/>
      <c s="364"/>
      <c s="363"/>
      <c s="358"/>
      <c s="1460">
        <f>INDEX(PT_DIFFERENTIATION_NUM_NTAR,MATCH(A2,PT_DIFFERENTIATION_NTAR_ID,0))</f>
      </c>
      <c s="301" t="s">
        <v>125</v>
      </c>
      <c s="303"/>
      <c s="2245"/>
      <c s="2246"/>
      <c s="2246"/>
      <c s="2246"/>
      <c s="2246"/>
      <c s="2246"/>
      <c s="2247"/>
      <c s="2245">
        <f>INDEX(PT_DIFFERENTIATION_NTAR,MATCH(A2,PT_DIFFERENTIATION_NTAR_ID,0))</f>
      </c>
      <c s="2246"/>
      <c s="2246"/>
      <c s="2246"/>
      <c s="2246"/>
      <c s="2246"/>
      <c s="2246"/>
      <c s="2247"/>
      <c s="126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3"/>
      <c s="503" t="str">
        <f>IF(T2="","",T2)</f>
        <v>Наименование тарифа</v>
      </c>
      <c s="503"/>
      <c s="503"/>
      <c s="1158">
        <v>0</v>
      </c>
    </row>
    <row r="3" spans="1:43" ht="23.25" customHeight="1" hidden="1">
      <c r="A3" s="1366"/>
      <c s="1366"/>
      <c s="1366"/>
      <c s="1366"/>
      <c s="2262"/>
      <c s="2261">
        <v>1</v>
      </c>
      <c s="1366"/>
      <c s="1366"/>
      <c s="1366"/>
      <c s="1366"/>
      <c s="1366"/>
      <c s="1367"/>
      <c s="1368"/>
      <c s="1368"/>
      <c s="1368"/>
      <c s="1456"/>
      <c s="355"/>
      <c s="356"/>
      <c s="1460">
        <f>INDEX(PT_DIFFERENTIATION_NUM_TER,MATCH(B3,PT_DIFFERENTIATION_TER_ID,0))</f>
      </c>
      <c s="311" t="s">
        <v>397</v>
      </c>
      <c s="303"/>
      <c s="2245"/>
      <c s="2246"/>
      <c s="2246"/>
      <c s="2246"/>
      <c s="2246"/>
      <c s="2246"/>
      <c s="2247"/>
      <c s="2245">
        <f>INDEX(PT_DIFFERENTIATION_TER,MATCH(B3,PT_DIFFERENTIATION_TER_ID,0))</f>
      </c>
      <c s="2246"/>
      <c s="2246"/>
      <c s="2246"/>
      <c s="2246"/>
      <c s="2246"/>
      <c s="2246"/>
      <c s="2247"/>
      <c s="1261" t="s">
        <v>398</v>
      </c>
      <c r="AM3" s="503"/>
      <c s="503" t="str">
        <f>IF(T3="","",T3)</f>
        <v>Территория действия тарифа</v>
      </c>
      <c s="503"/>
      <c s="503"/>
      <c s="1158">
        <v>0</v>
      </c>
    </row>
    <row r="4" spans="1:43" ht="23.25" customHeight="1" hidden="1">
      <c r="A4" s="1366"/>
      <c s="1366"/>
      <c s="1366"/>
      <c s="1366"/>
      <c s="2262"/>
      <c s="2262"/>
      <c s="2261">
        <v>1</v>
      </c>
      <c s="1366"/>
      <c s="1366"/>
      <c s="1366"/>
      <c s="1366"/>
      <c s="1367"/>
      <c s="1368"/>
      <c s="1368"/>
      <c s="1368"/>
      <c s="357"/>
      <c s="355"/>
      <c s="356"/>
      <c s="1460">
        <f>INDEX(PT_DIFFERENTIATION_NUM_CS,MATCH(C4,PT_DIFFERENTIATION_CS_ID,0))</f>
      </c>
      <c s="312" t="s">
        <v>481</v>
      </c>
      <c s="303"/>
      <c s="2245"/>
      <c s="2246"/>
      <c s="2246"/>
      <c s="2246"/>
      <c s="2246"/>
      <c s="2246"/>
      <c s="2247"/>
      <c s="2245">
        <f>INDEX(PT_DIFFERENTIATION_CS,MATCH(C4,PT_DIFFERENTIATION_CS_ID,0))</f>
      </c>
      <c s="2246"/>
      <c s="2246"/>
      <c s="2246"/>
      <c s="2246"/>
      <c s="2246"/>
      <c s="2246"/>
      <c s="2247"/>
      <c s="1261" t="s">
        <v>482</v>
      </c>
      <c r="AM4" s="503"/>
      <c s="503" t="str">
        <f>IF(T4="","",T4)</f>
        <v>Наименование централизованной системы холодного водоснабжения</v>
      </c>
      <c s="503"/>
      <c s="503"/>
      <c s="1158">
        <v>0</v>
      </c>
    </row>
    <row r="5" spans="1:43" ht="23.25" customHeight="1" hidden="1">
      <c r="A5" s="1366"/>
      <c s="1366"/>
      <c s="1366"/>
      <c s="1366"/>
      <c s="2262"/>
      <c s="2262"/>
      <c s="2262"/>
      <c s="2262"/>
      <c s="2259">
        <f>S4&amp;".1"</f>
      </c>
      <c s="1366"/>
      <c s="1366"/>
      <c s="1367"/>
      <c r="P5" s="2260">
        <v>1</v>
      </c>
      <c s="1453"/>
      <c s="359"/>
      <c s="1460">
        <f>$I5</f>
      </c>
      <c s="288" t="s">
        <v>483</v>
      </c>
      <c s="303"/>
      <c s="2353"/>
      <c s="2354"/>
      <c s="2354"/>
      <c s="2354"/>
      <c s="2354"/>
      <c s="2354"/>
      <c s="2355"/>
      <c s="2356"/>
      <c s="2357"/>
      <c s="2357"/>
      <c s="2357"/>
      <c s="2357"/>
      <c s="2357"/>
      <c s="2357"/>
      <c s="2358"/>
      <c s="1261" t="s">
        <v>484</v>
      </c>
      <c r="AM5" s="503"/>
      <c s="503" t="str">
        <f>IF(T5="","",T5)</f>
        <v>Наименование признака дифференциации</v>
      </c>
      <c s="503"/>
      <c s="503"/>
      <c s="1158">
        <v>0</v>
      </c>
    </row>
    <row r="6" spans="1:43" ht="23.25" customHeight="1" hidden="1">
      <c r="A6" s="1366"/>
      <c s="1366"/>
      <c s="1366"/>
      <c s="1366"/>
      <c s="2262"/>
      <c s="2262"/>
      <c s="2262"/>
      <c s="2262"/>
      <c s="2289"/>
      <c s="2259">
        <f>I5&amp;".1"</f>
      </c>
      <c s="1366"/>
      <c s="1367" t="s">
        <v>406</v>
      </c>
      <c r="P6" s="2260"/>
      <c s="2260">
        <v>1</v>
      </c>
      <c s="360"/>
      <c s="1460">
        <f>$J6</f>
      </c>
      <c s="289" t="s">
        <v>407</v>
      </c>
      <c s="303"/>
      <c s="2248"/>
      <c s="2249"/>
      <c s="2249"/>
      <c s="2249"/>
      <c s="2249"/>
      <c s="2249"/>
      <c s="2250"/>
      <c s="2248"/>
      <c s="2249"/>
      <c s="2249"/>
      <c s="2249"/>
      <c s="2249"/>
      <c s="2249"/>
      <c s="2249"/>
      <c s="2250"/>
      <c s="1310" t="s">
        <v>485</v>
      </c>
      <c r="AM6" s="503"/>
      <c s="503" t="str">
        <f>IF(T6="","",T6)</f>
        <v>Группа потребителей</v>
      </c>
      <c s="503"/>
      <c s="503"/>
      <c s="1158">
        <v>0</v>
      </c>
    </row>
    <row r="7" spans="1:43" ht="23.25" customHeight="1" hidden="1">
      <c r="A7" s="1366"/>
      <c s="1366"/>
      <c s="1366"/>
      <c s="1366"/>
      <c s="2262"/>
      <c s="2262"/>
      <c s="2262"/>
      <c s="2262"/>
      <c s="2289"/>
      <c s="2289"/>
      <c s="2259">
        <f>J6&amp;".1"</f>
      </c>
      <c s="1367"/>
      <c r="P7" s="2260"/>
      <c s="2260"/>
      <c s="360">
        <v>1</v>
      </c>
      <c s="1460">
        <f>$K7</f>
      </c>
      <c s="1440"/>
      <c s="303"/>
      <c s="754"/>
      <c s="754"/>
      <c s="1260"/>
      <c s="2268"/>
      <c s="2110" t="s">
        <v>65</v>
      </c>
      <c s="2268"/>
      <c s="2110" t="s">
        <v>65</v>
      </c>
      <c s="754"/>
      <c s="754"/>
      <c s="1260"/>
      <c s="2268"/>
      <c s="2110" t="s">
        <v>65</v>
      </c>
      <c s="2290"/>
      <c s="2110" t="s">
        <v>65</v>
      </c>
      <c s="1441"/>
      <c s="235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s="514">
        <f>STRCHECKDATE(V8:AJ8)</f>
      </c>
      <c s="503"/>
      <c s="503" t="str">
        <f>IF(T7="","",T7)</f>
        <v/>
      </c>
      <c s="503"/>
      <c s="503"/>
      <c s="1158">
        <v>0</v>
      </c>
    </row>
    <row r="8" spans="1:43" ht="14.25" customHeight="1" hidden="1">
      <c r="A8" s="1366"/>
      <c s="1366"/>
      <c s="1366"/>
      <c s="1366"/>
      <c s="2262"/>
      <c s="2262"/>
      <c s="2262"/>
      <c s="2262"/>
      <c s="2289"/>
      <c s="2289"/>
      <c s="2259"/>
      <c s="1367"/>
      <c r="P8" s="2260"/>
      <c s="2260"/>
      <c s="360"/>
      <c s="1459"/>
      <c s="303"/>
      <c s="303"/>
      <c s="328"/>
      <c s="328"/>
      <c s="331" t="str">
        <f>Y7&amp;"-"&amp;AA7</f>
        <v>-</v>
      </c>
      <c s="2269"/>
      <c s="2110"/>
      <c s="2269"/>
      <c s="2110"/>
      <c s="328"/>
      <c s="328"/>
      <c s="331" t="str">
        <f>AF7&amp;"-"&amp;AH7</f>
        <v>-</v>
      </c>
      <c s="2269"/>
      <c s="2110"/>
      <c s="2291"/>
      <c s="2110"/>
      <c s="1442"/>
      <c s="2352"/>
      <c r="AM8" s="503"/>
      <c s="503" t="str">
        <f>IF(T8="","",T8)</f>
        <v/>
      </c>
      <c s="503"/>
      <c s="503"/>
      <c s="1158">
        <v>0</v>
      </c>
    </row>
    <row r="9" spans="1:43" ht="21" customHeight="1" hidden="1">
      <c r="A9" s="1366"/>
      <c s="1366"/>
      <c s="1366"/>
      <c s="1366"/>
      <c s="2262"/>
      <c s="2262"/>
      <c s="2262"/>
      <c s="2262"/>
      <c s="2289"/>
      <c s="2259"/>
      <c s="1366"/>
      <c s="1367"/>
      <c r="P9" s="2260"/>
      <c s="2260"/>
      <c s="359"/>
      <c s="1281"/>
      <c s="290" t="s">
        <v>486</v>
      </c>
      <c s="370"/>
      <c s="370"/>
      <c s="370"/>
      <c s="370"/>
      <c s="370"/>
      <c s="370"/>
      <c s="370"/>
      <c s="370"/>
      <c s="370"/>
      <c s="370"/>
      <c s="370"/>
      <c s="370"/>
      <c s="370"/>
      <c s="370"/>
      <c s="370"/>
      <c s="370"/>
      <c s="1261" t="s">
        <v>487</v>
      </c>
      <c r="AM9" s="503"/>
      <c s="503" t="str">
        <f>IF(T9="","",T9)</f>
        <v>Добавить значение признака дифференциации</v>
      </c>
      <c s="503"/>
      <c s="503"/>
      <c s="1158">
        <v>0</v>
      </c>
    </row>
    <row r="10" spans="1:43" ht="21" customHeight="1" hidden="1">
      <c r="A10" s="1366"/>
      <c s="1366"/>
      <c s="1366"/>
      <c s="1366"/>
      <c s="2262"/>
      <c s="2262"/>
      <c s="2262"/>
      <c s="2262"/>
      <c s="2259"/>
      <c s="1366"/>
      <c s="1366"/>
      <c s="1367"/>
      <c r="P10" s="2260"/>
      <c s="1453"/>
      <c s="359"/>
      <c s="1281"/>
      <c s="368" t="s">
        <v>412</v>
      </c>
      <c s="370"/>
      <c s="370"/>
      <c s="370"/>
      <c s="370"/>
      <c s="370"/>
      <c s="370"/>
      <c s="370"/>
      <c s="369"/>
      <c s="370"/>
      <c s="370"/>
      <c s="370"/>
      <c s="370"/>
      <c s="370"/>
      <c s="370"/>
      <c s="369"/>
      <c s="370"/>
      <c s="1443"/>
      <c r="AM10" s="503"/>
      <c s="503" t="str">
        <f>IF(T10="","",T10)</f>
        <v>Добавить группу потребителей</v>
      </c>
      <c s="503"/>
      <c s="503"/>
      <c s="1158">
        <v>0</v>
      </c>
    </row>
    <row r="11" spans="1:43" ht="21" customHeight="1" hidden="1">
      <c r="A11" s="1366"/>
      <c s="1366"/>
      <c s="1366"/>
      <c s="1366"/>
      <c s="2262"/>
      <c s="2262"/>
      <c s="2262"/>
      <c s="2261"/>
      <c s="1366"/>
      <c s="1366"/>
      <c s="1366"/>
      <c s="1367"/>
      <c s="1368"/>
      <c s="1368"/>
      <c s="540"/>
      <c s="363"/>
      <c s="378"/>
      <c s="358"/>
      <c s="1281"/>
      <c s="375" t="s">
        <v>488</v>
      </c>
      <c s="370"/>
      <c s="370"/>
      <c s="370"/>
      <c s="370"/>
      <c s="370"/>
      <c s="370"/>
      <c s="370"/>
      <c s="369"/>
      <c s="370"/>
      <c s="370"/>
      <c s="370"/>
      <c s="370"/>
      <c s="370"/>
      <c s="370"/>
      <c s="369"/>
      <c s="370"/>
      <c s="306"/>
      <c r="AM11" s="503"/>
      <c s="503" t="str">
        <f>IF(T11="","",T11)</f>
        <v>Добавить наименование признака дифференциации</v>
      </c>
      <c s="503"/>
      <c s="503"/>
      <c s="1158">
        <v>0</v>
      </c>
    </row>
    <row r="12" spans="1:43" s="1645" customFormat="1" ht="14.25" customHeight="1" hidden="1">
      <c r="A12" s="1346"/>
      <c s="1346"/>
      <c s="1317"/>
      <c s="1317"/>
      <c s="2262"/>
      <c s="2261"/>
      <c s="1317"/>
      <c s="1317"/>
      <c s="1317"/>
      <c s="1317"/>
      <c s="1317"/>
      <c s="1461"/>
      <c s="1324"/>
      <c s="1324"/>
      <c r="P12" s="1319"/>
      <c s="1320"/>
      <c s="1319"/>
      <c s="1325"/>
      <c s="1328" t="s">
        <v>415</v>
      </c>
      <c s="1327"/>
      <c s="1327"/>
      <c s="1327"/>
      <c s="1327"/>
      <c s="1327"/>
      <c s="1327"/>
      <c s="1327"/>
      <c s="1327"/>
      <c s="1327"/>
      <c s="1327"/>
      <c s="1327"/>
      <c s="1327"/>
      <c s="1327"/>
      <c s="1327"/>
      <c s="1327"/>
      <c s="1327"/>
      <c s="1327"/>
      <c r="AM12" s="792"/>
      <c s="792" t="str">
        <f>IF(T12="","",T12)</f>
        <v>Добавить централизованную систему для дифференциации</v>
      </c>
      <c s="792"/>
      <c s="792"/>
      <c s="521">
        <v>0</v>
      </c>
    </row>
    <row r="13" spans="1:43" s="1645" customFormat="1" ht="14.25" customHeight="1" hidden="1">
      <c r="A13" s="1346"/>
      <c s="1346"/>
      <c s="1346"/>
      <c s="1346"/>
      <c s="2261"/>
      <c s="1346"/>
      <c s="1346"/>
      <c s="1346"/>
      <c s="1346"/>
      <c s="1346"/>
      <c s="1346"/>
      <c s="1349"/>
      <c s="1324"/>
      <c s="1324"/>
      <c s="521"/>
      <c s="383"/>
      <c s="1347"/>
      <c s="383"/>
      <c s="1325"/>
      <c s="1328" t="s">
        <v>416</v>
      </c>
      <c s="1327"/>
      <c s="1327"/>
      <c s="1327"/>
      <c s="1327"/>
      <c s="1327"/>
      <c s="1327"/>
      <c s="1327"/>
      <c s="1327"/>
      <c s="1327"/>
      <c s="1327"/>
      <c s="1327"/>
      <c s="1327"/>
      <c s="1327"/>
      <c s="1327"/>
      <c s="1327"/>
      <c s="1327"/>
      <c s="1327"/>
      <c r="AM13" s="503"/>
      <c s="503" t="str">
        <f>IF(T13="","",T13)</f>
        <v>Добавить территорию для дифференциации</v>
      </c>
      <c s="503"/>
      <c s="503"/>
      <c s="514">
        <v>0</v>
      </c>
    </row>
    <row r="14" spans="28:43" ht="14.25" customHeight="1" hidden="1">
      <c r="AB14" s="330"/>
      <c r="AI14" s="330"/>
      <c r="AQ14" s="1158">
        <v>0</v>
      </c>
    </row>
    <row r="15" spans="29:43" ht="14.25" customHeight="1" hidden="1">
      <c r="AC15" s="1363"/>
      <c s="1363"/>
      <c s="1364"/>
      <c s="2270"/>
      <c s="2271" t="s">
        <v>65</v>
      </c>
      <c s="2270"/>
      <c s="2271" t="s">
        <v>65</v>
      </c>
      <c r="AQ15" s="1158">
        <v>0</v>
      </c>
    </row>
    <row r="16" spans="29:43" ht="14.25" customHeight="1" hidden="1">
      <c r="AC16" s="1363"/>
      <c s="1363"/>
      <c s="331" t="str">
        <f>AF15&amp;"-"&amp;AH15</f>
        <v>-</v>
      </c>
      <c s="2271"/>
      <c s="2271"/>
      <c s="2271"/>
      <c s="2271"/>
      <c r="AQ16" s="1158">
        <v>0</v>
      </c>
    </row>
    <row r="17" spans="35:43" ht="14.25" customHeight="1" hidden="1">
      <c r="AI17" s="330"/>
      <c r="AQ17" s="1158">
        <v>0</v>
      </c>
    </row>
    <row r="18" spans="12:43" s="1369" customFormat="1" ht="22.5" customHeight="1" hidden="1">
      <c r="L18" s="1450"/>
      <c s="1365"/>
      <c s="1365"/>
      <c s="1370" t="s">
        <v>417</v>
      </c>
      <c s="1365"/>
      <c s="1374"/>
      <c s="1374"/>
      <c s="732"/>
      <c r="Y18" s="1370"/>
      <c r="AA18" s="1370"/>
      <c s="1369"/>
      <c r="AF18" s="1370"/>
      <c r="AH18" s="1370"/>
      <c s="1369"/>
      <c r="AL18" s="514"/>
      <c s="514"/>
      <c s="514"/>
      <c s="514"/>
      <c s="514"/>
      <c s="1163">
        <v>0</v>
      </c>
    </row>
    <row r="19" spans="12:43" s="1369" customFormat="1" ht="14.25" customHeight="1" hidden="1">
      <c r="L19" s="1450"/>
      <c s="1365"/>
      <c s="1365"/>
      <c s="1365"/>
      <c s="1365"/>
      <c s="1374"/>
      <c s="1374"/>
      <c s="732"/>
      <c r="AB19" s="1369"/>
      <c r="AI19" s="1369"/>
      <c r="AL19" s="514"/>
      <c s="514"/>
      <c s="514"/>
      <c s="514"/>
      <c s="514"/>
      <c s="1163">
        <v>0</v>
      </c>
    </row>
    <row r="20" spans="12:43" s="1369" customFormat="1" ht="12" customHeight="1" hidden="1">
      <c r="L20" s="1450"/>
      <c s="1365"/>
      <c s="1365"/>
      <c s="1367" t="s">
        <v>418</v>
      </c>
      <c s="1365"/>
      <c s="1445"/>
      <c s="1445"/>
      <c s="732"/>
      <c s="1163" t="s">
        <v>419</v>
      </c>
      <c r="Z20" s="189" t="s">
        <v>420</v>
      </c>
      <c r="AB20" s="189" t="s">
        <v>421</v>
      </c>
      <c s="1163" t="s">
        <v>419</v>
      </c>
      <c r="AG20" s="189" t="s">
        <v>422</v>
      </c>
      <c r="AI20" s="189" t="s">
        <v>421</v>
      </c>
      <c r="AQ20" s="1163">
        <v>0</v>
      </c>
    </row>
    <row r="21" spans="15:43" ht="14.25" customHeight="1" hidden="1">
      <c r="O21" s="1367"/>
      <c r="AQ21" s="1158">
        <v>0</v>
      </c>
    </row>
    <row r="22" spans="15:43" ht="14.25" customHeight="1" hidden="1">
      <c r="O22" s="1367"/>
      <c r="AQ22" s="1158">
        <v>0</v>
      </c>
    </row>
    <row r="23" spans="17:43" ht="14.7" customHeight="1">
      <c r="Q23" s="379"/>
      <c s="379"/>
      <c s="1278"/>
      <c s="366"/>
      <c s="366"/>
      <c s="512"/>
      <c s="512"/>
      <c s="512"/>
      <c s="512"/>
      <c s="512"/>
      <c s="512"/>
      <c s="512"/>
      <c s="512"/>
      <c s="512"/>
      <c s="512"/>
      <c s="512"/>
      <c s="512"/>
      <c s="512"/>
      <c s="512"/>
      <c r="AQ23" s="1158">
        <v>14</v>
      </c>
    </row>
    <row r="24" spans="17:43" ht="14.7" customHeight="1">
      <c r="Q24" s="379"/>
      <c s="379"/>
      <c s="2251"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s="2251"/>
      <c s="2251"/>
      <c s="2251"/>
      <c s="2251"/>
      <c s="2251"/>
      <c s="2251"/>
      <c s="2251"/>
      <c s="2251"/>
      <c s="2251"/>
      <c s="2251"/>
      <c s="2251"/>
      <c s="2251"/>
      <c s="2251"/>
      <c s="2251"/>
      <c s="2251"/>
      <c s="1246"/>
      <c r="AQ24" s="1158">
        <v>14</v>
      </c>
    </row>
    <row r="25" spans="17:43" ht="14.7" customHeight="1">
      <c r="Q25" s="379"/>
      <c s="379"/>
      <c s="2252" t="str">
        <f>IF(org=0,"Не определено",org)</f>
        <v>ГУП КК "Кубаньводкомплекс"</v>
      </c>
      <c s="2252"/>
      <c s="2252"/>
      <c s="2252"/>
      <c s="2252"/>
      <c s="2252"/>
      <c s="2252"/>
      <c s="2252"/>
      <c s="2252"/>
      <c s="2252"/>
      <c s="2252"/>
      <c s="2252"/>
      <c s="2252"/>
      <c s="2252"/>
      <c s="2252"/>
      <c s="2252"/>
      <c s="1246"/>
      <c r="AQ25" s="1158">
        <v>14</v>
      </c>
    </row>
    <row r="26" spans="17:43" ht="14.25" customHeight="1" hidden="1">
      <c r="Q26" s="379"/>
      <c s="379"/>
      <c s="1278"/>
      <c s="366"/>
      <c s="366"/>
      <c s="325"/>
      <c s="325"/>
      <c s="325"/>
      <c s="325"/>
      <c s="325"/>
      <c s="325"/>
      <c s="325"/>
      <c s="325"/>
      <c s="325"/>
      <c s="325"/>
      <c s="325"/>
      <c s="325"/>
      <c s="325"/>
      <c s="325"/>
      <c s="512"/>
      <c r="AQ26" s="1158">
        <v>0</v>
      </c>
    </row>
    <row r="27" spans="1:43" s="1856" customFormat="1" ht="25.5" customHeight="1" hidden="1">
      <c r="A27" s="1371"/>
      <c s="1371"/>
      <c s="1371"/>
      <c s="1371"/>
      <c s="1371"/>
      <c s="1371"/>
      <c s="1371"/>
      <c s="1371"/>
      <c s="1371"/>
      <c s="1371"/>
      <c s="1371"/>
      <c s="1372"/>
      <c s="1371"/>
      <c s="1371"/>
      <c s="1371"/>
      <c r="S27" s="2253" t="s">
        <v>42</v>
      </c>
      <c s="2253"/>
      <c s="1375"/>
      <c s="2254" t="str">
        <f>IF(TITLE_NAME_OR_PR_CHANGE="",IF(TITLE_NAME_OR_PR="","",TITLE_NAME_OR_PR),TITLE_NAME_OR_PR_CHANGE)</f>
        <v/>
      </c>
      <c s="2254"/>
      <c s="2254"/>
      <c s="2254"/>
      <c s="2254"/>
      <c s="2254"/>
      <c s="329"/>
      <c s="2254" t="str">
        <f>IF(TITLE_NAME_OR_PR_CHANGE="",IF(TITLE_NAME_OR_PR="","",TITLE_NAME_OR_PR),TITLE_NAME_OR_PR_CHANGE)</f>
        <v/>
      </c>
      <c s="2254"/>
      <c s="2254"/>
      <c s="2254"/>
      <c s="2254"/>
      <c s="2254"/>
      <c s="329"/>
      <c s="329"/>
      <c s="283"/>
      <c s="371"/>
      <c s="371"/>
      <c s="371"/>
      <c s="371"/>
      <c s="371"/>
      <c s="421">
        <v>0</v>
      </c>
    </row>
    <row r="28" spans="1:43" s="1856" customFormat="1" ht="18.75" customHeight="1" hidden="1">
      <c r="A28" s="1371"/>
      <c s="1371"/>
      <c s="1371"/>
      <c s="1371"/>
      <c s="1371"/>
      <c s="1371"/>
      <c s="1371"/>
      <c s="1371"/>
      <c s="1371"/>
      <c s="1371"/>
      <c s="1371"/>
      <c s="1372"/>
      <c s="1371"/>
      <c s="1371"/>
      <c s="1371"/>
      <c r="S28" s="2253" t="s">
        <v>423</v>
      </c>
      <c s="2253"/>
      <c s="1375"/>
      <c s="2267" t="str">
        <f>IF(TITLE_DATE_PR_CHANGE="",IF(TITLE_DATE_PR="","",TITLE_DATE_PR),TITLE_DATE_PR_CHANGE)</f>
        <v/>
      </c>
      <c s="2267"/>
      <c s="2267"/>
      <c s="2267"/>
      <c s="2267"/>
      <c s="2267"/>
      <c s="329"/>
      <c s="2267" t="str">
        <f>IF(TITLE_DATE_PR_CHANGE="",IF(TITLE_DATE_PR="","",TITLE_DATE_PR),TITLE_DATE_PR_CHANGE)</f>
        <v/>
      </c>
      <c s="2267"/>
      <c s="2267"/>
      <c s="2267"/>
      <c s="2267"/>
      <c s="2267"/>
      <c s="329"/>
      <c s="329"/>
      <c s="283"/>
      <c s="371"/>
      <c s="371"/>
      <c s="371"/>
      <c s="371"/>
      <c s="371"/>
      <c s="421">
        <v>0</v>
      </c>
    </row>
    <row r="29" spans="1:43" s="1856" customFormat="1" ht="18.75" customHeight="1" hidden="1">
      <c r="A29" s="1371"/>
      <c s="1371"/>
      <c s="1371"/>
      <c s="1371"/>
      <c s="1371"/>
      <c s="1371"/>
      <c s="1371"/>
      <c s="1371"/>
      <c s="1371"/>
      <c s="1371"/>
      <c s="1371"/>
      <c s="1372"/>
      <c s="1371"/>
      <c s="1371"/>
      <c s="1371"/>
      <c r="S29" s="2253" t="s">
        <v>424</v>
      </c>
      <c s="2253"/>
      <c s="1375"/>
      <c s="2254" t="str">
        <f>IF(TITLE_NUMBER_PR_CHANGE="",IF(TITLE_NUMBER_PR="","",TITLE_NUMBER_PR),TITLE_NUMBER_PR_CHANGE)</f>
        <v/>
      </c>
      <c s="2254"/>
      <c s="2254"/>
      <c s="2254"/>
      <c s="2254"/>
      <c s="2254"/>
      <c s="329"/>
      <c s="2254" t="str">
        <f>IF(TITLE_NUMBER_PR_CHANGE="",IF(TITLE_NUMBER_PR="","",TITLE_NUMBER_PR),TITLE_NUMBER_PR_CHANGE)</f>
        <v/>
      </c>
      <c s="2254"/>
      <c s="2254"/>
      <c s="2254"/>
      <c s="2254"/>
      <c s="2254"/>
      <c s="329"/>
      <c s="329"/>
      <c s="283"/>
      <c s="371"/>
      <c s="371"/>
      <c s="371"/>
      <c s="371"/>
      <c s="371"/>
      <c s="421">
        <v>0</v>
      </c>
    </row>
    <row r="30" spans="1:43" s="1856" customFormat="1" ht="18.75" customHeight="1" hidden="1">
      <c r="A30" s="1371"/>
      <c s="1371"/>
      <c s="1371"/>
      <c s="1371"/>
      <c s="1371"/>
      <c s="1371"/>
      <c s="1371"/>
      <c s="1371"/>
      <c s="1371"/>
      <c s="1371"/>
      <c s="1371"/>
      <c s="1372"/>
      <c s="1371"/>
      <c s="1371"/>
      <c s="1371"/>
      <c r="S30" s="2253" t="s">
        <v>43</v>
      </c>
      <c s="2253"/>
      <c s="1375"/>
      <c s="2254" t="str">
        <f>IF(TITLE_IST_PUB_CHANGE="",IF(TITLE_IST_PUB="","",TITLE_IST_PUB),TITLE_IST_PUB_CHANGE)</f>
        <v/>
      </c>
      <c s="2254"/>
      <c s="2254"/>
      <c s="2254"/>
      <c s="2254"/>
      <c s="2254"/>
      <c s="329"/>
      <c s="2254" t="str">
        <f>IF(TITLE_IST_PUB_CHANGE="",IF(TITLE_IST_PUB="","",TITLE_IST_PUB),TITLE_IST_PUB_CHANGE)</f>
        <v/>
      </c>
      <c s="2254"/>
      <c s="2254"/>
      <c s="2254"/>
      <c s="2254"/>
      <c s="2254"/>
      <c s="329"/>
      <c s="329"/>
      <c s="283"/>
      <c s="371"/>
      <c s="371"/>
      <c s="371"/>
      <c s="371"/>
      <c s="371"/>
      <c s="421">
        <v>0</v>
      </c>
    </row>
    <row r="31" spans="17:43" ht="14.25" customHeight="1" hidden="1">
      <c r="Q31" s="379"/>
      <c s="379"/>
      <c s="1278"/>
      <c s="366"/>
      <c s="366"/>
      <c s="325"/>
      <c s="325"/>
      <c s="325"/>
      <c s="325"/>
      <c s="325"/>
      <c s="325"/>
      <c s="325"/>
      <c s="325"/>
      <c s="325"/>
      <c s="325"/>
      <c s="325"/>
      <c s="325"/>
      <c s="325"/>
      <c s="325"/>
      <c s="512"/>
      <c r="AQ31" s="1158">
        <v>0</v>
      </c>
    </row>
    <row r="32" spans="1:43" s="1856" customFormat="1" ht="18.75" customHeight="1" hidden="1">
      <c r="A32" s="1371"/>
      <c s="1371"/>
      <c s="1371"/>
      <c s="1371"/>
      <c s="1371"/>
      <c s="1371"/>
      <c s="1371"/>
      <c s="1371"/>
      <c s="1371"/>
      <c s="1371"/>
      <c s="1371"/>
      <c s="1372"/>
      <c s="1371"/>
      <c s="1371"/>
      <c s="1371"/>
      <c r="S32" s="2253" t="s">
        <v>425</v>
      </c>
      <c s="2253"/>
      <c s="1375"/>
      <c s="2267" t="str">
        <f>IF(TITLE_DATE_PR_CHANGE="",IF(TITLE_DATE_PR="","",TITLE_DATE_PR),TITLE_DATE_PR_CHANGE)</f>
        <v/>
      </c>
      <c s="2267"/>
      <c s="2267"/>
      <c s="2267"/>
      <c s="2267"/>
      <c s="2267"/>
      <c s="329"/>
      <c s="2267" t="str">
        <f>IF(TITLE_DATE_PR_CHANGE="",IF(TITLE_DATE_PR="","",TITLE_DATE_PR),TITLE_DATE_PR_CHANGE)</f>
        <v/>
      </c>
      <c s="2267"/>
      <c s="2267"/>
      <c s="2267"/>
      <c s="2267"/>
      <c s="2267"/>
      <c s="329"/>
      <c s="329"/>
      <c s="283"/>
      <c s="371"/>
      <c s="371"/>
      <c s="371"/>
      <c s="371"/>
      <c s="371"/>
      <c s="421">
        <v>0</v>
      </c>
    </row>
    <row r="33" spans="1:43" s="1856" customFormat="1" ht="18.75" customHeight="1" hidden="1">
      <c r="A33" s="1371"/>
      <c s="1371"/>
      <c s="1371"/>
      <c s="1371"/>
      <c s="1371"/>
      <c s="1371"/>
      <c s="1371"/>
      <c s="1371"/>
      <c s="1371"/>
      <c s="1371"/>
      <c s="1371"/>
      <c s="1372"/>
      <c s="1371"/>
      <c s="1371"/>
      <c s="1371"/>
      <c r="S33" s="2253" t="s">
        <v>426</v>
      </c>
      <c s="2253"/>
      <c s="1375"/>
      <c s="2254" t="str">
        <f>IF(TITLE_NUMBER_PR_CHANGE="",IF(TITLE_NUMBER_PR="","",TITLE_NUMBER_PR),TITLE_NUMBER_PR_CHANGE)</f>
        <v/>
      </c>
      <c s="2254"/>
      <c s="2254"/>
      <c s="2254"/>
      <c s="2254"/>
      <c s="2254"/>
      <c s="329"/>
      <c s="2254" t="str">
        <f>IF(TITLE_NUMBER_PR_CHANGE="",IF(TITLE_NUMBER_PR="","",TITLE_NUMBER_PR),TITLE_NUMBER_PR_CHANGE)</f>
        <v/>
      </c>
      <c s="2254"/>
      <c s="2254"/>
      <c s="2254"/>
      <c s="2254"/>
      <c s="2254"/>
      <c s="329"/>
      <c s="329"/>
      <c s="283"/>
      <c s="371"/>
      <c s="371"/>
      <c s="371"/>
      <c s="371"/>
      <c s="371"/>
      <c s="421">
        <v>0</v>
      </c>
    </row>
    <row r="34" spans="1:43" s="1856" customFormat="1" ht="1.05" customHeight="1">
      <c r="A34" s="1371"/>
      <c s="1371"/>
      <c s="1371"/>
      <c s="1371"/>
      <c s="1371"/>
      <c s="1371"/>
      <c s="1371"/>
      <c s="1371"/>
      <c s="1371"/>
      <c s="1371"/>
      <c s="1371"/>
      <c s="1372"/>
      <c s="1371"/>
      <c s="1371"/>
      <c s="1371"/>
      <c r="S34" s="326"/>
      <c s="326"/>
      <c s="1457"/>
      <c s="329"/>
      <c s="329"/>
      <c s="329"/>
      <c s="329"/>
      <c s="329"/>
      <c s="329"/>
      <c s="281" t="s">
        <v>427</v>
      </c>
      <c s="329"/>
      <c s="329"/>
      <c s="329"/>
      <c s="329"/>
      <c s="329"/>
      <c s="329"/>
      <c s="281" t="s">
        <v>427</v>
      </c>
      <c r="AL34" s="371"/>
      <c s="371"/>
      <c s="371"/>
      <c s="371"/>
      <c s="371"/>
      <c s="421">
        <v>1</v>
      </c>
    </row>
    <row r="35" spans="17:43" ht="14.7" customHeight="1">
      <c r="Q35" s="379"/>
      <c s="379"/>
      <c s="1278"/>
      <c s="366"/>
      <c s="1247"/>
      <c s="2255"/>
      <c s="2255"/>
      <c s="2255"/>
      <c s="2255"/>
      <c s="2255"/>
      <c s="2255"/>
      <c s="2255"/>
      <c s="2255"/>
      <c s="2255"/>
      <c s="2255"/>
      <c s="2255"/>
      <c s="2255"/>
      <c s="2255"/>
      <c s="2255"/>
      <c r="AQ35" s="1158">
        <v>14</v>
      </c>
    </row>
    <row r="36" spans="17:43" ht="14.7" customHeight="1">
      <c r="Q36" s="379"/>
      <c s="379"/>
      <c s="2130" t="s">
        <v>300</v>
      </c>
      <c s="2130"/>
      <c s="2130"/>
      <c s="2130"/>
      <c s="2130"/>
      <c s="2130"/>
      <c s="2130"/>
      <c s="2130"/>
      <c s="2130"/>
      <c s="2130"/>
      <c s="2130"/>
      <c s="2130"/>
      <c s="2130"/>
      <c s="2130"/>
      <c s="2130"/>
      <c s="2130"/>
      <c s="2130"/>
      <c s="2130"/>
      <c s="2130" t="s">
        <v>301</v>
      </c>
      <c r="AQ36" s="1158">
        <v>14</v>
      </c>
    </row>
    <row r="37" spans="17:43" ht="14.7" customHeight="1">
      <c r="Q37" s="379"/>
      <c s="379"/>
      <c s="2276" t="s">
        <v>87</v>
      </c>
      <c s="2212" t="s">
        <v>428</v>
      </c>
      <c s="304"/>
      <c s="2277" t="s">
        <v>429</v>
      </c>
      <c s="2278"/>
      <c s="2278"/>
      <c s="2278"/>
      <c s="2278"/>
      <c s="2279"/>
      <c s="2280" t="s">
        <v>430</v>
      </c>
      <c s="2277" t="s">
        <v>429</v>
      </c>
      <c s="2278"/>
      <c s="2278"/>
      <c s="2278"/>
      <c s="2278"/>
      <c s="2279"/>
      <c s="2280" t="s">
        <v>431</v>
      </c>
      <c s="2283" t="s">
        <v>432</v>
      </c>
      <c s="2130"/>
      <c r="AQ37" s="1158">
        <v>14</v>
      </c>
    </row>
    <row r="38" spans="17:43" ht="35.7" customHeight="1">
      <c r="Q38" s="379"/>
      <c s="379"/>
      <c s="2276"/>
      <c s="2212"/>
      <c s="1034"/>
      <c s="1455" t="s">
        <v>489</v>
      </c>
      <c s="2265" t="s">
        <v>435</v>
      </c>
      <c s="2266"/>
      <c s="2265" t="s">
        <v>436</v>
      </c>
      <c s="2272"/>
      <c s="2266"/>
      <c s="2281"/>
      <c s="1455" t="s">
        <v>489</v>
      </c>
      <c s="2265" t="s">
        <v>435</v>
      </c>
      <c s="2266"/>
      <c s="2265" t="s">
        <v>436</v>
      </c>
      <c s="2272"/>
      <c s="2266"/>
      <c s="2281"/>
      <c s="2284"/>
      <c s="2130"/>
      <c r="AQ38" s="1158">
        <v>34</v>
      </c>
    </row>
    <row r="39" spans="1:43" ht="35.7" customHeight="1">
      <c r="A39" s="1373"/>
      <c s="1373" t="s">
        <v>137</v>
      </c>
      <c s="1373" t="s">
        <v>138</v>
      </c>
      <c s="1373" t="s">
        <v>139</v>
      </c>
      <c s="1367" t="s">
        <v>437</v>
      </c>
      <c s="1367" t="s">
        <v>438</v>
      </c>
      <c s="1367" t="s">
        <v>439</v>
      </c>
      <c s="1367"/>
      <c s="1367" t="s">
        <v>490</v>
      </c>
      <c s="1367" t="s">
        <v>442</v>
      </c>
      <c s="1367" t="s">
        <v>491</v>
      </c>
      <c s="1367" t="s">
        <v>418</v>
      </c>
      <c r="Q39" s="379"/>
      <c s="379"/>
      <c s="2276"/>
      <c s="2212"/>
      <c s="305"/>
      <c s="1455" t="s">
        <v>492</v>
      </c>
      <c s="1225" t="s">
        <v>493</v>
      </c>
      <c s="1225" t="s">
        <v>494</v>
      </c>
      <c s="1458" t="s">
        <v>446</v>
      </c>
      <c s="2273" t="s">
        <v>447</v>
      </c>
      <c s="2274"/>
      <c s="2282"/>
      <c s="1455" t="s">
        <v>492</v>
      </c>
      <c s="1225" t="s">
        <v>493</v>
      </c>
      <c s="1225" t="s">
        <v>494</v>
      </c>
      <c s="1458" t="s">
        <v>446</v>
      </c>
      <c s="2273" t="s">
        <v>447</v>
      </c>
      <c s="2274"/>
      <c s="2282"/>
      <c s="2285"/>
      <c s="2130"/>
      <c r="AQ39" s="1158">
        <v>34</v>
      </c>
    </row>
    <row r="40" spans="1:43" s="1644" customFormat="1" ht="0" customHeight="1">
      <c r="A40" s="1373"/>
      <c s="1373"/>
      <c s="1373"/>
      <c s="1373"/>
      <c s="1373"/>
      <c s="1373"/>
      <c s="1373"/>
      <c s="1373"/>
      <c s="1373"/>
      <c s="1373"/>
      <c s="1373"/>
      <c s="1367"/>
      <c s="1365"/>
      <c s="1365"/>
      <c s="1365"/>
      <c s="1249"/>
      <c s="1250"/>
      <c s="1257">
        <v>1</v>
      </c>
      <c s="1280" t="s">
        <v>109</v>
      </c>
      <c s="1258" t="s">
        <v>110</v>
      </c>
      <c s="1248" t="str">
        <f ca="1">OFFSET(U40,0,-1)</f>
        <v>2</v>
      </c>
      <c s="1454">
        <f ca="1">OFFSET(V40,0,-1)+1</f>
        <v>3</v>
      </c>
      <c s="1454">
        <f ca="1">OFFSET(W40,0,-1)+1</f>
        <v>4</v>
      </c>
      <c s="1454">
        <f ca="1">OFFSET(X40,0,-1)+1</f>
        <v>5</v>
      </c>
      <c s="1454">
        <f ca="1">OFFSET(Y40,0,-1)+1</f>
        <v>6</v>
      </c>
      <c s="2275">
        <f ca="1">OFFSET(Z40,0,-1)+1</f>
        <v>7</v>
      </c>
      <c s="2275"/>
      <c s="1454">
        <f ca="1">OFFSET(AB40,0,-2)+1</f>
        <v>8</v>
      </c>
      <c s="1454">
        <f ca="1">OFFSET(AC40,0,-1)+1</f>
        <v>9</v>
      </c>
      <c s="1454">
        <f ca="1">OFFSET(AD40,0,-1)+1</f>
        <v>10</v>
      </c>
      <c s="1454">
        <f ca="1">OFFSET(AE40,0,-1)+1</f>
        <v>11</v>
      </c>
      <c s="1454">
        <f ca="1">OFFSET(AF40,0,-1)+1</f>
        <v>12</v>
      </c>
      <c s="2275">
        <f ca="1">OFFSET(AG40,0,-1)+1</f>
        <v>13</v>
      </c>
      <c s="2275"/>
      <c s="1454">
        <f ca="1">OFFSET(AI40,0,-2)+1</f>
        <v>14</v>
      </c>
      <c s="1248">
        <f ca="1">OFFSET(AJ40,0,-1)</f>
        <v>14</v>
      </c>
      <c s="1454">
        <f ca="1">OFFSET(AK40,0,-1)+1</f>
        <v>15</v>
      </c>
      <c s="514"/>
      <c s="514"/>
      <c s="514"/>
      <c s="514"/>
      <c s="514"/>
      <c s="499">
        <v>0</v>
      </c>
    </row>
    <row r="41" spans="1:43" ht="24" customHeight="1">
      <c r="A41" s="1366" t="s">
        <v>231</v>
      </c>
      <c s="1366"/>
      <c s="1366"/>
      <c s="1366"/>
      <c s="2261">
        <v>1</v>
      </c>
      <c s="1366"/>
      <c s="1366"/>
      <c s="1366"/>
      <c s="1366"/>
      <c s="1366"/>
      <c s="1366"/>
      <c s="1367"/>
      <c s="1368"/>
      <c s="1368"/>
      <c s="1368"/>
      <c s="364"/>
      <c s="363"/>
      <c s="358"/>
      <c s="1460">
        <f>INDEX(PT_DIFFERENTIATION_NUM_NTAR,MATCH(A41,PT_DIFFERENTIATION_NTAR_ID,0))</f>
        <v>0</v>
      </c>
      <c s="301" t="s">
        <v>125</v>
      </c>
      <c s="303"/>
      <c s="2245"/>
      <c s="2246"/>
      <c s="2246"/>
      <c s="2246"/>
      <c s="2246"/>
      <c s="2246"/>
      <c s="2247"/>
      <c s="2245" t="str">
        <f>INDEX(PT_DIFFERENTIATION_NTAR,MATCH(A41,PT_DIFFERENTIATION_NTAR_ID,0))</f>
        <v/>
      </c>
      <c s="2246"/>
      <c s="2246"/>
      <c s="2246"/>
      <c s="2246"/>
      <c s="2246"/>
      <c s="2246"/>
      <c s="2247"/>
      <c s="126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3"/>
      <c s="503" t="str">
        <f>IF(T41="","",T41)</f>
        <v>Наименование тарифа</v>
      </c>
      <c s="503"/>
      <c s="503"/>
      <c s="1158">
        <v>23</v>
      </c>
    </row>
    <row r="42" spans="1:43" ht="24" customHeight="1">
      <c r="A42" s="1366" t="s">
        <v>231</v>
      </c>
      <c s="1366" t="s">
        <v>232</v>
      </c>
      <c s="1366"/>
      <c s="1366"/>
      <c s="2262"/>
      <c s="2261">
        <v>1</v>
      </c>
      <c s="1366"/>
      <c s="1366"/>
      <c s="1366"/>
      <c s="1366"/>
      <c s="1366"/>
      <c s="1367"/>
      <c s="1368"/>
      <c s="1368"/>
      <c s="1368"/>
      <c s="1456"/>
      <c s="355"/>
      <c s="356"/>
      <c s="1460" t="str">
        <f>INDEX(PT_DIFFERENTIATION_NUM_TER,MATCH(B42,PT_DIFFERENTIATION_TER_ID,0))</f>
        <v>.</v>
      </c>
      <c s="311" t="s">
        <v>397</v>
      </c>
      <c s="303"/>
      <c s="2245"/>
      <c s="2246"/>
      <c s="2246"/>
      <c s="2246"/>
      <c s="2246"/>
      <c s="2246"/>
      <c s="2247"/>
      <c s="2245" t="str">
        <f>INDEX(PT_DIFFERENTIATION_TER,MATCH(B42,PT_DIFFERENTIATION_TER_ID,0))</f>
        <v/>
      </c>
      <c s="2246"/>
      <c s="2246"/>
      <c s="2246"/>
      <c s="2246"/>
      <c s="2246"/>
      <c s="2246"/>
      <c s="2247"/>
      <c s="1261" t="s">
        <v>398</v>
      </c>
      <c r="AM42" s="503"/>
      <c s="503" t="str">
        <f>IF(T42="","",T42)</f>
        <v>Территория действия тарифа</v>
      </c>
      <c s="503"/>
      <c s="503"/>
      <c s="1158">
        <v>23</v>
      </c>
    </row>
    <row r="43" spans="1:43" ht="24" customHeight="1">
      <c r="A43" s="1366" t="s">
        <v>231</v>
      </c>
      <c s="1366" t="s">
        <v>232</v>
      </c>
      <c s="1366" t="s">
        <v>233</v>
      </c>
      <c s="1366"/>
      <c s="2262"/>
      <c s="2262"/>
      <c s="2261">
        <v>1</v>
      </c>
      <c s="1366"/>
      <c s="1366"/>
      <c s="1366"/>
      <c s="1366"/>
      <c s="1367"/>
      <c s="1368"/>
      <c s="1368"/>
      <c s="1368"/>
      <c s="357"/>
      <c s="355"/>
      <c s="356"/>
      <c s="1460" t="str">
        <f>INDEX(PT_DIFFERENTIATION_NUM_CS,MATCH(C43,PT_DIFFERENTIATION_CS_ID,0))</f>
        <v>..</v>
      </c>
      <c s="312" t="s">
        <v>481</v>
      </c>
      <c s="303"/>
      <c s="2245"/>
      <c s="2246"/>
      <c s="2246"/>
      <c s="2246"/>
      <c s="2246"/>
      <c s="2246"/>
      <c s="2247"/>
      <c s="2245" t="str">
        <f>INDEX(PT_DIFFERENTIATION_CS,MATCH(C43,PT_DIFFERENTIATION_CS_ID,0))</f>
        <v/>
      </c>
      <c s="2246"/>
      <c s="2246"/>
      <c s="2246"/>
      <c s="2246"/>
      <c s="2246"/>
      <c s="2246"/>
      <c s="2247"/>
      <c s="1261" t="s">
        <v>482</v>
      </c>
      <c r="AM43" s="503"/>
      <c s="503" t="str">
        <f>IF(T43="","",T43)</f>
        <v>Наименование централизованной системы холодного водоснабжения</v>
      </c>
      <c s="503"/>
      <c s="503"/>
      <c s="1158">
        <v>23</v>
      </c>
    </row>
    <row r="44" spans="1:43" ht="24" customHeight="1">
      <c r="A44" s="1366" t="s">
        <v>231</v>
      </c>
      <c s="1366" t="s">
        <v>232</v>
      </c>
      <c s="1366" t="s">
        <v>233</v>
      </c>
      <c s="1366" t="s">
        <v>496</v>
      </c>
      <c s="2262"/>
      <c s="2262"/>
      <c s="2262"/>
      <c s="2262"/>
      <c s="2259" t="str">
        <f>S43&amp;".1"</f>
        <v>...1</v>
      </c>
      <c s="1366"/>
      <c s="1366"/>
      <c s="1367"/>
      <c r="P44" s="2260">
        <v>1</v>
      </c>
      <c s="1453"/>
      <c s="359"/>
      <c s="1460" t="str">
        <f>$I44</f>
        <v>...1</v>
      </c>
      <c s="288" t="s">
        <v>483</v>
      </c>
      <c s="303"/>
      <c s="2353"/>
      <c s="2354"/>
      <c s="2354"/>
      <c s="2354"/>
      <c s="2354"/>
      <c s="2354"/>
      <c s="2355"/>
      <c s="2356"/>
      <c s="2357"/>
      <c s="2357"/>
      <c s="2357"/>
      <c s="2357"/>
      <c s="2357"/>
      <c s="2357"/>
      <c s="2358"/>
      <c s="1261" t="s">
        <v>484</v>
      </c>
      <c r="AM44" s="503"/>
      <c s="503" t="str">
        <f>IF(T44="","",T44)</f>
        <v>Наименование признака дифференциации</v>
      </c>
      <c s="503"/>
      <c s="503"/>
      <c s="1158">
        <v>23</v>
      </c>
    </row>
    <row r="45" spans="1:43" ht="24" customHeight="1">
      <c r="A45" s="1366" t="s">
        <v>231</v>
      </c>
      <c s="1366" t="s">
        <v>232</v>
      </c>
      <c s="1366" t="s">
        <v>233</v>
      </c>
      <c s="1366" t="s">
        <v>496</v>
      </c>
      <c s="2262"/>
      <c s="2262"/>
      <c s="2262"/>
      <c s="2262"/>
      <c s="2289"/>
      <c s="2259" t="str">
        <f>I44&amp;".1"</f>
        <v>...1.1</v>
      </c>
      <c s="1366"/>
      <c s="1367" t="s">
        <v>406</v>
      </c>
      <c r="P45" s="2260"/>
      <c s="2260">
        <v>1</v>
      </c>
      <c s="360"/>
      <c s="1460" t="str">
        <f>$J45</f>
        <v>...1.1</v>
      </c>
      <c s="289" t="s">
        <v>407</v>
      </c>
      <c s="303"/>
      <c s="2248"/>
      <c s="2249"/>
      <c s="2249"/>
      <c s="2249"/>
      <c s="2249"/>
      <c s="2249"/>
      <c s="2250"/>
      <c s="2248"/>
      <c s="2249"/>
      <c s="2249"/>
      <c s="2249"/>
      <c s="2249"/>
      <c s="2249"/>
      <c s="2249"/>
      <c s="2250"/>
      <c s="1310" t="s">
        <v>485</v>
      </c>
      <c r="AM45" s="503"/>
      <c s="503" t="str">
        <f>IF(T45="","",T45)</f>
        <v>Группа потребителей</v>
      </c>
      <c s="503"/>
      <c s="503"/>
      <c s="1158">
        <v>23</v>
      </c>
    </row>
    <row r="46" spans="1:43" ht="24" customHeight="1">
      <c r="A46" s="1366" t="s">
        <v>231</v>
      </c>
      <c s="1366" t="s">
        <v>232</v>
      </c>
      <c s="1366" t="s">
        <v>233</v>
      </c>
      <c s="1366" t="s">
        <v>496</v>
      </c>
      <c s="2262"/>
      <c s="2262"/>
      <c s="2262"/>
      <c s="2262"/>
      <c s="2289"/>
      <c s="2289"/>
      <c s="2259" t="str">
        <f>J45&amp;".1"</f>
        <v>...1.1.1</v>
      </c>
      <c s="1367"/>
      <c r="P46" s="2260"/>
      <c s="2260"/>
      <c s="360">
        <v>1</v>
      </c>
      <c s="1460" t="str">
        <f>$K46</f>
        <v>...1.1.1</v>
      </c>
      <c s="1440"/>
      <c s="303"/>
      <c s="754"/>
      <c s="754"/>
      <c s="1260"/>
      <c s="2268"/>
      <c s="2110" t="s">
        <v>65</v>
      </c>
      <c s="2268"/>
      <c s="2110" t="s">
        <v>65</v>
      </c>
      <c s="754"/>
      <c s="754"/>
      <c s="1260"/>
      <c s="2268"/>
      <c s="2110" t="s">
        <v>65</v>
      </c>
      <c s="2290"/>
      <c s="2110" t="s">
        <v>65</v>
      </c>
      <c s="1441"/>
      <c s="235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s="514">
        <f>STRCHECKDATE(V47:AJ47)</f>
      </c>
      <c s="503"/>
      <c s="503" t="str">
        <f>IF(T46="","",T46)</f>
        <v/>
      </c>
      <c s="503"/>
      <c s="503"/>
      <c s="1158">
        <v>23</v>
      </c>
    </row>
    <row r="47" spans="1:43" ht="0" customHeight="1">
      <c r="A47" s="1366" t="s">
        <v>231</v>
      </c>
      <c s="1366" t="s">
        <v>232</v>
      </c>
      <c s="1366" t="s">
        <v>233</v>
      </c>
      <c s="1366" t="s">
        <v>496</v>
      </c>
      <c s="2262"/>
      <c s="2262"/>
      <c s="2262"/>
      <c s="2262"/>
      <c s="2289"/>
      <c s="2289"/>
      <c s="2259"/>
      <c s="1367"/>
      <c r="P47" s="2260"/>
      <c s="2260"/>
      <c s="360"/>
      <c s="1459"/>
      <c s="303"/>
      <c s="303"/>
      <c s="328"/>
      <c s="328"/>
      <c s="331" t="str">
        <f>Y46&amp;"-"&amp;AA46</f>
        <v>-</v>
      </c>
      <c s="2269"/>
      <c s="2110"/>
      <c s="2269"/>
      <c s="2110"/>
      <c s="328"/>
      <c s="328"/>
      <c s="331" t="str">
        <f>AF46&amp;"-"&amp;AH46</f>
        <v>-</v>
      </c>
      <c s="2269"/>
      <c s="2110"/>
      <c s="2291"/>
      <c s="2110"/>
      <c s="1442"/>
      <c s="2352"/>
      <c r="AM47" s="503"/>
      <c s="503" t="str">
        <f>IF(T47="","",T47)</f>
        <v/>
      </c>
      <c s="503"/>
      <c s="503"/>
      <c s="1158">
        <v>0</v>
      </c>
    </row>
    <row r="48" spans="1:43" ht="21" customHeight="1">
      <c r="A48" s="1366" t="s">
        <v>231</v>
      </c>
      <c s="1366" t="s">
        <v>232</v>
      </c>
      <c s="1366" t="s">
        <v>233</v>
      </c>
      <c s="1366" t="s">
        <v>496</v>
      </c>
      <c s="2262"/>
      <c s="2262"/>
      <c s="2262"/>
      <c s="2262"/>
      <c s="2289"/>
      <c s="2259"/>
      <c s="1366"/>
      <c s="1367"/>
      <c r="P48" s="2260"/>
      <c s="2260"/>
      <c s="359"/>
      <c s="1281"/>
      <c s="290" t="s">
        <v>486</v>
      </c>
      <c s="370"/>
      <c s="370"/>
      <c s="370"/>
      <c s="370"/>
      <c s="370"/>
      <c s="370"/>
      <c s="370"/>
      <c s="370"/>
      <c s="370"/>
      <c s="370"/>
      <c s="370"/>
      <c s="370"/>
      <c s="370"/>
      <c s="370"/>
      <c s="370"/>
      <c s="370"/>
      <c s="1261" t="s">
        <v>487</v>
      </c>
      <c r="AM48" s="503"/>
      <c s="503" t="str">
        <f>IF(T48="","",T48)</f>
        <v>Добавить значение признака дифференциации</v>
      </c>
      <c s="503"/>
      <c s="503"/>
      <c s="1158">
        <v>20</v>
      </c>
    </row>
    <row r="49" spans="1:43" ht="22.05" customHeight="1">
      <c r="A49" s="1366" t="s">
        <v>231</v>
      </c>
      <c s="1366" t="s">
        <v>232</v>
      </c>
      <c s="1366" t="s">
        <v>233</v>
      </c>
      <c s="1366" t="s">
        <v>496</v>
      </c>
      <c s="2262"/>
      <c s="2262"/>
      <c s="2262"/>
      <c s="2262"/>
      <c s="2259"/>
      <c s="1366"/>
      <c s="1366"/>
      <c s="1367"/>
      <c r="P49" s="2260"/>
      <c s="1453"/>
      <c s="359"/>
      <c s="1281"/>
      <c s="368" t="s">
        <v>412</v>
      </c>
      <c s="370"/>
      <c s="370"/>
      <c s="370"/>
      <c s="370"/>
      <c s="370"/>
      <c s="370"/>
      <c s="370"/>
      <c s="369"/>
      <c s="370"/>
      <c s="370"/>
      <c s="370"/>
      <c s="370"/>
      <c s="370"/>
      <c s="370"/>
      <c s="369"/>
      <c s="370"/>
      <c s="1443"/>
      <c r="AM49" s="503"/>
      <c s="503" t="str">
        <f>IF(T49="","",T49)</f>
        <v>Добавить группу потребителей</v>
      </c>
      <c s="503"/>
      <c s="503"/>
      <c s="1158">
        <v>21</v>
      </c>
    </row>
    <row r="50" spans="1:43" ht="22.05" customHeight="1">
      <c r="A50" s="1366" t="s">
        <v>231</v>
      </c>
      <c s="1366" t="s">
        <v>232</v>
      </c>
      <c s="1366" t="s">
        <v>233</v>
      </c>
      <c s="1366" t="s">
        <v>496</v>
      </c>
      <c s="2262"/>
      <c s="2262"/>
      <c s="2262"/>
      <c s="2261"/>
      <c s="1366"/>
      <c s="1366"/>
      <c s="1366"/>
      <c s="1367"/>
      <c s="1368"/>
      <c s="1368"/>
      <c s="540"/>
      <c s="363"/>
      <c s="378"/>
      <c s="358"/>
      <c s="1281"/>
      <c s="375" t="s">
        <v>488</v>
      </c>
      <c s="370"/>
      <c s="370"/>
      <c s="370"/>
      <c s="370"/>
      <c s="370"/>
      <c s="370"/>
      <c s="370"/>
      <c s="369"/>
      <c s="370"/>
      <c s="370"/>
      <c s="370"/>
      <c s="370"/>
      <c s="370"/>
      <c s="370"/>
      <c s="369"/>
      <c s="370"/>
      <c s="306"/>
      <c r="AM50" s="503"/>
      <c s="503" t="str">
        <f>IF(T50="","",T50)</f>
        <v>Добавить наименование признака дифференциации</v>
      </c>
      <c s="503"/>
      <c s="503"/>
      <c s="1158">
        <v>21</v>
      </c>
    </row>
    <row r="51" spans="1:43" s="1645" customFormat="1" ht="0" customHeight="1">
      <c r="A51" s="1346" t="s">
        <v>231</v>
      </c>
      <c s="1346" t="s">
        <v>232</v>
      </c>
      <c s="1317"/>
      <c s="1317"/>
      <c s="2262"/>
      <c s="2261"/>
      <c s="1317"/>
      <c s="1317"/>
      <c s="1317"/>
      <c s="1317"/>
      <c s="1317"/>
      <c s="1461"/>
      <c s="1324"/>
      <c s="1324"/>
      <c r="P51" s="1319"/>
      <c s="1320"/>
      <c s="1319"/>
      <c s="1325"/>
      <c s="1328" t="s">
        <v>415</v>
      </c>
      <c s="1327"/>
      <c s="1327"/>
      <c s="1327"/>
      <c s="1327"/>
      <c s="1327"/>
      <c s="1327"/>
      <c s="1327"/>
      <c s="1327"/>
      <c s="1327"/>
      <c s="1327"/>
      <c s="1327"/>
      <c s="1327"/>
      <c s="1327"/>
      <c s="1327"/>
      <c s="1327"/>
      <c s="1327"/>
      <c s="1327"/>
      <c r="AM51" s="792"/>
      <c s="792" t="str">
        <f>IF(T51="","",T51)</f>
        <v>Добавить централизованную систему для дифференциации</v>
      </c>
      <c s="792"/>
      <c s="792"/>
      <c s="521">
        <v>0</v>
      </c>
    </row>
    <row r="52" spans="1:43" s="1645" customFormat="1" ht="0" customHeight="1">
      <c r="A52" s="1346" t="s">
        <v>231</v>
      </c>
      <c s="1346"/>
      <c s="1346"/>
      <c s="1346"/>
      <c s="2261"/>
      <c s="1346"/>
      <c s="1346"/>
      <c s="1346"/>
      <c s="1346"/>
      <c s="1346"/>
      <c s="1346"/>
      <c s="1349"/>
      <c s="1324"/>
      <c s="1324"/>
      <c s="521"/>
      <c s="383"/>
      <c s="1347"/>
      <c s="383"/>
      <c s="1325"/>
      <c s="1328" t="s">
        <v>416</v>
      </c>
      <c s="1327"/>
      <c s="1327"/>
      <c s="1327"/>
      <c s="1327"/>
      <c s="1327"/>
      <c s="1327"/>
      <c s="1327"/>
      <c s="1327"/>
      <c s="1327"/>
      <c s="1327"/>
      <c s="1327"/>
      <c s="1327"/>
      <c s="1327"/>
      <c s="1327"/>
      <c s="1327"/>
      <c s="1327"/>
      <c s="1327"/>
      <c r="AM52" s="503"/>
      <c s="503" t="str">
        <f>IF(T52="","",T52)</f>
        <v>Добавить территорию для дифференциации</v>
      </c>
      <c s="503"/>
      <c s="503"/>
      <c s="514">
        <v>0</v>
      </c>
    </row>
    <row r="53" spans="1:43" s="1645" customFormat="1" ht="0" customHeight="1">
      <c r="A53" s="1317"/>
      <c s="1317"/>
      <c s="1317"/>
      <c s="1317"/>
      <c s="1346"/>
      <c s="1317"/>
      <c s="1317"/>
      <c s="1317"/>
      <c s="1317"/>
      <c s="1317"/>
      <c s="1317"/>
      <c s="1461"/>
      <c s="1324"/>
      <c s="1324"/>
      <c r="P53" s="1319"/>
      <c s="1320"/>
      <c s="1319"/>
      <c s="1325"/>
      <c s="1328" t="s">
        <v>448</v>
      </c>
      <c s="1327"/>
      <c s="1327"/>
      <c s="1327"/>
      <c s="1327"/>
      <c s="1327"/>
      <c s="1327"/>
      <c s="1327"/>
      <c s="1327"/>
      <c s="1327"/>
      <c s="1327"/>
      <c s="1327"/>
      <c s="1327"/>
      <c s="1327"/>
      <c s="1327"/>
      <c s="1327"/>
      <c s="1327"/>
      <c s="1327"/>
      <c r="AM53" s="792"/>
      <c s="792" t="str">
        <f>IF(T53="","",T53)</f>
        <v>Добавить наименование тарифа</v>
      </c>
      <c s="792"/>
      <c s="792"/>
      <c s="521">
        <v>0</v>
      </c>
    </row>
    <row r="54" spans="13:43" ht="11.55" customHeight="1">
      <c r="M54" s="1163"/>
      <c s="1163"/>
      <c s="540"/>
      <c s="1158"/>
      <c s="1158"/>
      <c s="1158"/>
      <c s="1158"/>
      <c r="AL54" s="1158"/>
      <c s="1158"/>
      <c s="1158"/>
      <c s="1158"/>
      <c s="1158"/>
      <c s="1158">
        <v>11</v>
      </c>
    </row>
    <row r="55" spans="15:43" ht="14.7" customHeight="1">
      <c r="O55" s="540"/>
      <c r="S55" s="1256"/>
      <c s="2288"/>
      <c s="2288"/>
      <c s="2288"/>
      <c s="2288"/>
      <c s="2288"/>
      <c s="2288"/>
      <c s="2288"/>
      <c s="2288"/>
      <c s="2288"/>
      <c s="2288"/>
      <c s="2288"/>
      <c s="2288"/>
      <c s="2288"/>
      <c s="2288"/>
      <c s="2288"/>
      <c s="2288"/>
      <c s="2288"/>
      <c s="2288"/>
      <c r="AQ55" s="1158">
        <v>14</v>
      </c>
    </row>
    <row r="56" spans="15:43" ht="14.7" customHeight="1">
      <c r="O56" s="540"/>
      <c r="AQ56" s="1158">
        <v>14</v>
      </c>
    </row>
    <row r="57" spans="15:43" ht="14.7" customHeight="1">
      <c r="O57" s="540"/>
      <c r="S57" s="1256"/>
      <c s="2288"/>
      <c s="2288"/>
      <c s="2288"/>
      <c s="2288"/>
      <c s="2288"/>
      <c s="2288"/>
      <c s="2288"/>
      <c s="2288"/>
      <c s="2288"/>
      <c s="2288"/>
      <c s="2288"/>
      <c s="2288"/>
      <c s="2288"/>
      <c s="2288"/>
      <c s="2288"/>
      <c s="2288"/>
      <c s="2288"/>
      <c s="2288"/>
      <c r="AQ57" s="1158">
        <v>14</v>
      </c>
    </row>
    <row r="58" spans="1:43" ht="22.5" customHeight="1" hidden="1">
      <c r="A58" s="1163" t="s">
        <v>81</v>
      </c>
      <c s="1163">
        <v>0</v>
      </c>
      <c s="1163">
        <v>0</v>
      </c>
      <c s="1163">
        <v>0</v>
      </c>
      <c s="1163">
        <v>0</v>
      </c>
      <c s="1163">
        <v>0</v>
      </c>
      <c s="1163">
        <v>0</v>
      </c>
      <c s="1163">
        <v>0</v>
      </c>
      <c s="1163">
        <v>0</v>
      </c>
      <c s="1163">
        <v>0</v>
      </c>
      <c s="1163">
        <v>0</v>
      </c>
      <c s="1450">
        <v>0</v>
      </c>
      <c s="1365">
        <v>0</v>
      </c>
      <c s="1365">
        <v>0</v>
      </c>
      <c s="1365">
        <v>0</v>
      </c>
      <c s="1449">
        <v>3</v>
      </c>
      <c s="347">
        <v>3</v>
      </c>
      <c s="347">
        <v>3</v>
      </c>
      <c s="584">
        <v>12</v>
      </c>
      <c s="1158">
        <v>35</v>
      </c>
      <c s="1158">
        <v>0</v>
      </c>
      <c s="1158">
        <v>0</v>
      </c>
      <c s="1158">
        <v>0</v>
      </c>
      <c s="1158">
        <v>0</v>
      </c>
      <c s="1158">
        <v>0</v>
      </c>
      <c s="1158">
        <v>0</v>
      </c>
      <c s="1158">
        <v>0</v>
      </c>
      <c s="1158">
        <v>0</v>
      </c>
      <c s="1158">
        <v>24</v>
      </c>
      <c s="1158">
        <v>24</v>
      </c>
      <c s="1158">
        <v>24</v>
      </c>
      <c s="1158">
        <v>11</v>
      </c>
      <c s="1158">
        <v>3</v>
      </c>
      <c s="1158">
        <v>11</v>
      </c>
      <c s="1158">
        <v>0</v>
      </c>
      <c s="1158">
        <v>4</v>
      </c>
      <c s="1158">
        <v>115</v>
      </c>
      <c s="514">
        <v>10</v>
      </c>
      <c s="514">
        <v>10</v>
      </c>
      <c s="514">
        <v>10</v>
      </c>
      <c s="514">
        <v>10</v>
      </c>
      <c s="514">
        <v>10</v>
      </c>
      <c s="1158">
        <v>23</v>
      </c>
    </row>
  </sheetData>
  <sheetProtection formatColumns="0" formatRows="0" insertRows="0" deleteColumns="0" deleteRows="0" sort="0" autoFilter="0"/>
  <mergeCells count="101">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K46:K47"/>
    <mergeCell ref="Y46:Y47"/>
    <mergeCell ref="E2:E13"/>
    <mergeCell ref="V2:AB2"/>
    <mergeCell ref="AC2:AJ2"/>
    <mergeCell ref="AI37:AI39"/>
    <mergeCell ref="V29:AA29"/>
    <mergeCell ref="AC29:AH29"/>
    <mergeCell ref="V30:AA30"/>
    <mergeCell ref="AC30:AH30"/>
    <mergeCell ref="Z39:AA39"/>
    <mergeCell ref="AG39:AH39"/>
    <mergeCell ref="AI7:AI8"/>
    <mergeCell ref="S30:T30"/>
    <mergeCell ref="S24:AH24"/>
    <mergeCell ref="S25:AH25"/>
    <mergeCell ref="S27:T27"/>
    <mergeCell ref="V27:AA27"/>
    <mergeCell ref="AC27:AH27"/>
    <mergeCell ref="S28:T28"/>
    <mergeCell ref="V28:AA28"/>
    <mergeCell ref="Y38:AA38"/>
    <mergeCell ref="AD38:AE38"/>
    <mergeCell ref="AF38:AH38"/>
    <mergeCell ref="AG7:AG8"/>
    <mergeCell ref="AH7:AH8"/>
    <mergeCell ref="AK7:AK8"/>
    <mergeCell ref="AF15:AF16"/>
    <mergeCell ref="AG15:AG16"/>
    <mergeCell ref="AH15:AH16"/>
    <mergeCell ref="AI15:AI16"/>
    <mergeCell ref="Z46:Z47"/>
    <mergeCell ref="AC45:AJ45"/>
    <mergeCell ref="AA46:AA47"/>
    <mergeCell ref="AB46:AB47"/>
    <mergeCell ref="AF46:AF47"/>
    <mergeCell ref="AK46:AK47"/>
    <mergeCell ref="S29:T29"/>
    <mergeCell ref="F3:F12"/>
    <mergeCell ref="V3:AB3"/>
    <mergeCell ref="AC3:AJ3"/>
    <mergeCell ref="G4:G11"/>
    <mergeCell ref="V4:AB4"/>
    <mergeCell ref="AC4:AJ4"/>
    <mergeCell ref="H5:H11"/>
    <mergeCell ref="I5:I10"/>
    <mergeCell ref="P5:P10"/>
    <mergeCell ref="V5:AB5"/>
    <mergeCell ref="AC5:AJ5"/>
    <mergeCell ref="J6:J9"/>
    <mergeCell ref="Q6:Q9"/>
    <mergeCell ref="K7:K8"/>
    <mergeCell ref="Y7:Y8"/>
    <mergeCell ref="V6:AB6"/>
    <mergeCell ref="AC6:AJ6"/>
    <mergeCell ref="AC28:AH28"/>
    <mergeCell ref="Z7:Z8"/>
    <mergeCell ref="AA7:AA8"/>
    <mergeCell ref="AB7:AB8"/>
    <mergeCell ref="AF7:AF8"/>
    <mergeCell ref="T55:AK55"/>
    <mergeCell ref="T57:AK57"/>
    <mergeCell ref="V35:AB35"/>
    <mergeCell ref="S32:T32"/>
    <mergeCell ref="V32:AA32"/>
    <mergeCell ref="AC32:AH32"/>
    <mergeCell ref="S33:T33"/>
    <mergeCell ref="V33:AA33"/>
    <mergeCell ref="AC33:AH33"/>
    <mergeCell ref="AC35:AI35"/>
    <mergeCell ref="Z40:AA40"/>
    <mergeCell ref="AG40:AH40"/>
    <mergeCell ref="S36:AJ36"/>
    <mergeCell ref="AK36:AK39"/>
    <mergeCell ref="S37:S39"/>
    <mergeCell ref="T37:T39"/>
    <mergeCell ref="V37:AA37"/>
    <mergeCell ref="AB37:AB39"/>
    <mergeCell ref="AG46:AG47"/>
    <mergeCell ref="AH46:AH47"/>
    <mergeCell ref="AI46:AI47"/>
    <mergeCell ref="AJ37:AJ39"/>
    <mergeCell ref="AC37:AH37"/>
    <mergeCell ref="W38:X38"/>
  </mergeCells>
  <dataValidations count="8">
    <dataValidation allowBlank="1" showInputMessage="1" showErrorMessage="1" prompt="Для выбора выполните двойной щелчок левой клавиши мыши по соответствующей ячейке." sqref="Z7 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7 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C5:AJ5 AK65572:AK65579 AK131108:AK131115 AK196644:AK196651 AK262180:AK262187 AK327716:AK327723 AK393252:AK393259 AK458788:AK458795 AK524324:AK524331 AK589860:AK589867 AK655396:AK655403 AK720932:AK720939 AK786468:AK786475 AK852004:AK852011 AK917540:AK917547 AK983076:AK983083 T46 T7 AC44:AJ44">
      <formula1>900</formula1>
    </dataValidation>
    <dataValidation type="list" allowBlank="1" showInputMessage="1" showErrorMessage="1" errorTitle="Ошибка" error="Выберите значение из списка" sqref="V65576 V983080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8 X65579 X131115 X196651 X262187 X327723 X393259 X458795 X524331 X589867 X655403 X720939 X786475 X852011 X917547 X983083 AE16 AE65579 AE131115 AE196651 AE262187 AE327723 AE393259 AE458795 AE524331 AE589867 AE655403 AE720939 AE786475 AE852011 AE917547 AE983083 X47 AE8 AE47"/>
    <dataValidation type="list" allowBlank="1" showInputMessage="1" prompt="Выберите значение из списка" errorTitle="Ошибка" error="Выберите значение из списка" sqref="V65577:AJ65577 V983081:AJ983081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65580:AK65586 S131116:AK131122 S196652:AK196658 S262188:AK262194 S327724:AK327730 S393260:AK393266 S458796:AK458802 S524332:AK524338 S589868:AK589874 S655404:AK655410 S720940:AK720946 S786476:AK786482 S852012:AK852018 S917548:AK917554 S983084:AK983090"/>
  </dataValidations>
  <pageMargins left="0.7" right="0.7" top="0.75" bottom="0.75" header="0.3" footer="0.3"/>
  <pageSetup orientation="portrait"/>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m="http://schemas.microsoft.com/office/excel/2006/main" xmlns:x14ac="http://schemas.microsoft.com/office/spreadsheetml/2009/9/ac" xmlns:xr="http://schemas.microsoft.com/office/spreadsheetml/2014/revision" xmlns:xr2="http://schemas.microsoft.com/office/spreadsheetml/2015/revision2" xmlns:xr3="http://schemas.microsoft.com/office/spreadsheetml/2016/revision3" xr:uid="{E8CC546B-8167-546F-1684-6EDCEE4E2234}" mc:Ignorable="x14ac xr xr2 xr3">
  <sheetPr>
    <tabColor theme="6" tint="0.400000005960464"/>
  </sheetPr>
  <dimension ref="A1:AQ58"/>
  <sheetViews>
    <sheetView showGridLines="0" zoomScale="90" zoomScaleNormal="90" workbookViewId="0" topLeftCell="A1">
      <pane xSplit="28" ySplit="40" topLeftCell="AC41" activePane="bottomRight" state="frozen"/>
      <selection pane="topLeft" activeCell="A1" sqref="A1"/>
      <selection pane="bottomLeft" activeCell="A41" sqref="A41"/>
      <selection pane="topRight" activeCell="AC1" sqref="AC1"/>
      <selection pane="bottomRight" activeCell="A1" sqref="A1"/>
    </sheetView>
  </sheetViews>
  <sheetFormatPr defaultColWidth="10.5742857142857" defaultRowHeight="14.25" customHeight="1"/>
  <cols>
    <col min="1" max="1" width="10.5714285714286" style="1369" hidden="1"/>
    <col min="2" max="2" width="11" style="1369" hidden="1" customWidth="1"/>
    <col min="3" max="3" width="10.5714285714286" style="1369" hidden="1"/>
    <col min="4" max="4" width="11.8571428571429" style="1369" hidden="1" customWidth="1"/>
    <col min="5" max="5" width="10" style="1369" hidden="1" customWidth="1"/>
    <col min="6" max="6" width="8.71428571428571" style="1369" hidden="1" customWidth="1"/>
    <col min="7" max="7" width="7.57142857142857" style="1369" hidden="1" customWidth="1"/>
    <col min="8" max="8" width="11.4285714285714" style="1369" hidden="1" customWidth="1"/>
    <col min="9" max="9" width="14.1428571428571" style="1369" hidden="1" customWidth="1"/>
    <col min="10" max="10" width="9.85714285714286" style="1369" hidden="1" customWidth="1"/>
    <col min="11" max="11" width="14.7142857142857" style="1369" hidden="1" customWidth="1"/>
    <col min="12" max="12" width="19.1428571428571" style="2610" hidden="1" customWidth="1"/>
    <col min="13" max="14" width="12.2857142857143" style="1779" hidden="1" customWidth="1"/>
    <col min="15" max="15" width="23.4285714285714" style="1779" hidden="1" customWidth="1"/>
    <col min="16" max="16" width="3" style="2400" customWidth="1"/>
    <col min="17" max="18" width="3" style="347" customWidth="1"/>
    <col min="19" max="19" width="12" style="2410" customWidth="1"/>
    <col min="20" max="20" width="35" style="1638" customWidth="1"/>
    <col min="21" max="21" width="0.142857142857143" style="1638" customWidth="1"/>
    <col min="22" max="24" width="24.7142857142857" style="1638" hidden="1" customWidth="1"/>
    <col min="25" max="25" width="11.7142857142857" style="1638" hidden="1" customWidth="1"/>
    <col min="26" max="26" width="3.71428571428571" style="1638" hidden="1" customWidth="1"/>
    <col min="27" max="27" width="11.7142857142857" style="1638" hidden="1" customWidth="1"/>
    <col min="28" max="28" width="8.57142857142857" style="1638" hidden="1" customWidth="1"/>
    <col min="29" max="29" width="24.7142857142857" style="1638" customWidth="1"/>
    <col min="30" max="31" width="24" style="1638" customWidth="1"/>
    <col min="32" max="32" width="11" style="1638" customWidth="1"/>
    <col min="33" max="33" width="3.71428571428571" style="1638" customWidth="1"/>
    <col min="34" max="34" width="11" style="1638" customWidth="1"/>
    <col min="35" max="35" width="8.57142857142857" style="1638" hidden="1" customWidth="1"/>
    <col min="36" max="36" width="4" style="1638" customWidth="1"/>
    <col min="37" max="37" width="115" style="1638" customWidth="1"/>
    <col min="38" max="42" width="10" style="1645" customWidth="1"/>
    <col min="43" max="43" width="10.5714285714286" style="1638" hidden="1"/>
  </cols>
  <sheetData>
    <row r="1" spans="24:43" ht="22.5" customHeight="1" hidden="1">
      <c r="X1" s="330"/>
      <c s="330"/>
      <c r="AE1" s="330"/>
      <c s="330"/>
      <c r="AQ1" s="1158" t="s">
        <v>14</v>
      </c>
    </row>
    <row r="2" spans="1:43" ht="23.25" customHeight="1" hidden="1">
      <c r="A2" s="1366"/>
      <c s="1366"/>
      <c s="1366"/>
      <c s="1366"/>
      <c s="2261">
        <v>1</v>
      </c>
      <c s="1366"/>
      <c s="1366"/>
      <c s="1366"/>
      <c s="1366"/>
      <c s="1366"/>
      <c s="1366"/>
      <c s="1367"/>
      <c s="1368"/>
      <c s="1368"/>
      <c s="1368"/>
      <c s="364"/>
      <c s="363"/>
      <c s="358"/>
      <c s="1460">
        <f>INDEX(PT_DIFFERENTIATION_NUM_NTAR,MATCH(A2,PT_DIFFERENTIATION_NTAR_ID,0))</f>
      </c>
      <c s="301" t="s">
        <v>125</v>
      </c>
      <c s="303"/>
      <c s="2245"/>
      <c s="2246"/>
      <c s="2246"/>
      <c s="2246"/>
      <c s="2246"/>
      <c s="2246"/>
      <c s="2247"/>
      <c s="2245">
        <f>INDEX(PT_DIFFERENTIATION_NTAR,MATCH(A2,PT_DIFFERENTIATION_NTAR_ID,0))</f>
      </c>
      <c s="2246"/>
      <c s="2246"/>
      <c s="2246"/>
      <c s="2246"/>
      <c s="2246"/>
      <c s="2246"/>
      <c s="2247"/>
      <c s="126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3"/>
      <c s="503" t="str">
        <f>IF(T2="","",T2)</f>
        <v>Наименование тарифа</v>
      </c>
      <c s="503"/>
      <c s="503"/>
      <c s="1158">
        <v>0</v>
      </c>
    </row>
    <row r="3" spans="1:43" ht="23.25" customHeight="1" hidden="1">
      <c r="A3" s="1366"/>
      <c s="1366"/>
      <c s="1366"/>
      <c s="1366"/>
      <c s="2262"/>
      <c s="2261">
        <v>1</v>
      </c>
      <c s="1366"/>
      <c s="1366"/>
      <c s="1366"/>
      <c s="1366"/>
      <c s="1366"/>
      <c s="1367"/>
      <c s="1368"/>
      <c s="1368"/>
      <c s="1368"/>
      <c s="1456"/>
      <c s="355"/>
      <c s="356"/>
      <c s="1460">
        <f>INDEX(PT_DIFFERENTIATION_NUM_TER,MATCH(B3,PT_DIFFERENTIATION_TER_ID,0))</f>
      </c>
      <c s="311" t="s">
        <v>397</v>
      </c>
      <c s="303"/>
      <c s="2245"/>
      <c s="2246"/>
      <c s="2246"/>
      <c s="2246"/>
      <c s="2246"/>
      <c s="2246"/>
      <c s="2247"/>
      <c s="2245">
        <f>INDEX(PT_DIFFERENTIATION_TER,MATCH(B3,PT_DIFFERENTIATION_TER_ID,0))</f>
      </c>
      <c s="2246"/>
      <c s="2246"/>
      <c s="2246"/>
      <c s="2246"/>
      <c s="2246"/>
      <c s="2246"/>
      <c s="2247"/>
      <c s="1261" t="s">
        <v>398</v>
      </c>
      <c r="AM3" s="503"/>
      <c s="503" t="str">
        <f>IF(T3="","",T3)</f>
        <v>Территория действия тарифа</v>
      </c>
      <c s="503"/>
      <c s="503"/>
      <c s="1158">
        <v>0</v>
      </c>
    </row>
    <row r="4" spans="1:43" ht="23.25" customHeight="1" hidden="1">
      <c r="A4" s="1366"/>
      <c s="1366"/>
      <c s="1366"/>
      <c s="1366"/>
      <c s="2262"/>
      <c s="2262"/>
      <c s="2261">
        <v>1</v>
      </c>
      <c s="1366"/>
      <c s="1366"/>
      <c s="1366"/>
      <c s="1366"/>
      <c s="1367"/>
      <c s="1368"/>
      <c s="1368"/>
      <c s="1368"/>
      <c s="357"/>
      <c s="355"/>
      <c s="356"/>
      <c s="1460">
        <f>INDEX(PT_DIFFERENTIATION_NUM_CS,MATCH(C4,PT_DIFFERENTIATION_CS_ID,0))</f>
      </c>
      <c s="312" t="s">
        <v>481</v>
      </c>
      <c s="303"/>
      <c s="2245"/>
      <c s="2246"/>
      <c s="2246"/>
      <c s="2246"/>
      <c s="2246"/>
      <c s="2246"/>
      <c s="2247"/>
      <c s="2245">
        <f>INDEX(PT_DIFFERENTIATION_CS,MATCH(C4,PT_DIFFERENTIATION_CS_ID,0))</f>
      </c>
      <c s="2246"/>
      <c s="2246"/>
      <c s="2246"/>
      <c s="2246"/>
      <c s="2246"/>
      <c s="2246"/>
      <c s="2247"/>
      <c s="1261" t="s">
        <v>482</v>
      </c>
      <c r="AM4" s="503"/>
      <c s="503" t="str">
        <f>IF(T4="","",T4)</f>
        <v>Наименование централизованной системы холодного водоснабжения</v>
      </c>
      <c s="503"/>
      <c s="503"/>
      <c s="1158">
        <v>0</v>
      </c>
    </row>
    <row r="5" spans="1:43" ht="23.25" customHeight="1" hidden="1">
      <c r="A5" s="1366"/>
      <c s="1366"/>
      <c s="1366"/>
      <c s="1366"/>
      <c s="2262"/>
      <c s="2262"/>
      <c s="2262"/>
      <c s="2262"/>
      <c s="2259">
        <f>S4&amp;".1"</f>
      </c>
      <c s="1366"/>
      <c s="1366"/>
      <c s="1367"/>
      <c r="P5" s="2260">
        <v>1</v>
      </c>
      <c s="1453"/>
      <c s="359"/>
      <c s="1460">
        <f>$I5</f>
      </c>
      <c s="288" t="s">
        <v>483</v>
      </c>
      <c s="303"/>
      <c s="2353"/>
      <c s="2354"/>
      <c s="2354"/>
      <c s="2354"/>
      <c s="2354"/>
      <c s="2354"/>
      <c s="2355"/>
      <c s="2356"/>
      <c s="2357"/>
      <c s="2357"/>
      <c s="2357"/>
      <c s="2357"/>
      <c s="2357"/>
      <c s="2357"/>
      <c s="2358"/>
      <c s="1261" t="s">
        <v>484</v>
      </c>
      <c r="AM5" s="503"/>
      <c s="503" t="str">
        <f>IF(T5="","",T5)</f>
        <v>Наименование признака дифференциации</v>
      </c>
      <c s="503"/>
      <c s="503"/>
      <c s="1158">
        <v>0</v>
      </c>
    </row>
    <row r="6" spans="1:43" ht="23.25" customHeight="1" hidden="1">
      <c r="A6" s="1366"/>
      <c s="1366"/>
      <c s="1366"/>
      <c s="1366"/>
      <c s="2262"/>
      <c s="2262"/>
      <c s="2262"/>
      <c s="2262"/>
      <c s="2289"/>
      <c s="2259">
        <f>I5&amp;".1"</f>
      </c>
      <c s="1366"/>
      <c s="1367" t="s">
        <v>406</v>
      </c>
      <c r="P6" s="2260"/>
      <c s="2260">
        <v>1</v>
      </c>
      <c s="360"/>
      <c s="1460">
        <f>$J6</f>
      </c>
      <c s="289" t="s">
        <v>407</v>
      </c>
      <c s="303"/>
      <c s="2248"/>
      <c s="2249"/>
      <c s="2249"/>
      <c s="2249"/>
      <c s="2249"/>
      <c s="2249"/>
      <c s="2250"/>
      <c s="2248"/>
      <c s="2249"/>
      <c s="2249"/>
      <c s="2249"/>
      <c s="2249"/>
      <c s="2249"/>
      <c s="2249"/>
      <c s="2250"/>
      <c s="1310" t="s">
        <v>485</v>
      </c>
      <c r="AM6" s="503"/>
      <c s="503" t="str">
        <f>IF(T6="","",T6)</f>
        <v>Группа потребителей</v>
      </c>
      <c s="503"/>
      <c s="503"/>
      <c s="1158">
        <v>0</v>
      </c>
    </row>
    <row r="7" spans="1:43" ht="23.25" customHeight="1" hidden="1">
      <c r="A7" s="1366"/>
      <c s="1366"/>
      <c s="1366"/>
      <c s="1366"/>
      <c s="2262"/>
      <c s="2262"/>
      <c s="2262"/>
      <c s="2262"/>
      <c s="2289"/>
      <c s="2289"/>
      <c s="2259">
        <f>J6&amp;".1"</f>
      </c>
      <c s="1367"/>
      <c r="P7" s="2260"/>
      <c s="2260"/>
      <c s="360">
        <v>1</v>
      </c>
      <c s="1460">
        <f>$K7</f>
      </c>
      <c s="1440"/>
      <c s="303"/>
      <c s="754"/>
      <c s="754"/>
      <c s="1260"/>
      <c s="2268"/>
      <c s="2110" t="s">
        <v>65</v>
      </c>
      <c s="2268"/>
      <c s="2110" t="s">
        <v>65</v>
      </c>
      <c s="754"/>
      <c s="754"/>
      <c s="1260"/>
      <c s="2268"/>
      <c s="2110" t="s">
        <v>65</v>
      </c>
      <c s="2290"/>
      <c s="2110" t="s">
        <v>65</v>
      </c>
      <c s="1441"/>
      <c s="235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s="514">
        <f>STRCHECKDATE(V8:AJ8)</f>
      </c>
      <c s="503"/>
      <c s="503" t="str">
        <f>IF(T7="","",T7)</f>
        <v/>
      </c>
      <c s="503"/>
      <c s="503"/>
      <c s="1158">
        <v>0</v>
      </c>
    </row>
    <row r="8" spans="1:43" ht="14.25" customHeight="1" hidden="1">
      <c r="A8" s="1366"/>
      <c s="1366"/>
      <c s="1366"/>
      <c s="1366"/>
      <c s="2262"/>
      <c s="2262"/>
      <c s="2262"/>
      <c s="2262"/>
      <c s="2289"/>
      <c s="2289"/>
      <c s="2259"/>
      <c s="1367"/>
      <c r="P8" s="2260"/>
      <c s="2260"/>
      <c s="360"/>
      <c s="1459"/>
      <c s="303"/>
      <c s="303"/>
      <c s="328"/>
      <c s="328"/>
      <c s="331" t="str">
        <f>Y7&amp;"-"&amp;AA7</f>
        <v>-</v>
      </c>
      <c s="2269"/>
      <c s="2110"/>
      <c s="2269"/>
      <c s="2110"/>
      <c s="328"/>
      <c s="328"/>
      <c s="331" t="str">
        <f>AF7&amp;"-"&amp;AH7</f>
        <v>-</v>
      </c>
      <c s="2269"/>
      <c s="2110"/>
      <c s="2291"/>
      <c s="2110"/>
      <c s="1442"/>
      <c s="2352"/>
      <c r="AM8" s="503"/>
      <c s="503" t="str">
        <f>IF(T8="","",T8)</f>
        <v/>
      </c>
      <c s="503"/>
      <c s="503"/>
      <c s="1158">
        <v>0</v>
      </c>
    </row>
    <row r="9" spans="1:43" ht="21" customHeight="1" hidden="1">
      <c r="A9" s="1366"/>
      <c s="1366"/>
      <c s="1366"/>
      <c s="1366"/>
      <c s="2262"/>
      <c s="2262"/>
      <c s="2262"/>
      <c s="2262"/>
      <c s="2289"/>
      <c s="2259"/>
      <c s="1366"/>
      <c s="1367"/>
      <c r="P9" s="2260"/>
      <c s="2260"/>
      <c s="359"/>
      <c s="1281"/>
      <c s="290" t="s">
        <v>486</v>
      </c>
      <c s="370"/>
      <c s="370"/>
      <c s="370"/>
      <c s="370"/>
      <c s="370"/>
      <c s="370"/>
      <c s="370"/>
      <c s="370"/>
      <c s="370"/>
      <c s="370"/>
      <c s="370"/>
      <c s="370"/>
      <c s="370"/>
      <c s="370"/>
      <c s="370"/>
      <c s="370"/>
      <c s="1261" t="s">
        <v>487</v>
      </c>
      <c r="AM9" s="503"/>
      <c s="503" t="str">
        <f>IF(T9="","",T9)</f>
        <v>Добавить значение признака дифференциации</v>
      </c>
      <c s="503"/>
      <c s="503"/>
      <c s="1158">
        <v>0</v>
      </c>
    </row>
    <row r="10" spans="1:43" ht="21" customHeight="1" hidden="1">
      <c r="A10" s="1366"/>
      <c s="1366"/>
      <c s="1366"/>
      <c s="1366"/>
      <c s="2262"/>
      <c s="2262"/>
      <c s="2262"/>
      <c s="2262"/>
      <c s="2259"/>
      <c s="1366"/>
      <c s="1366"/>
      <c s="1367"/>
      <c r="P10" s="2260"/>
      <c s="1453"/>
      <c s="359"/>
      <c s="1281"/>
      <c s="368" t="s">
        <v>412</v>
      </c>
      <c s="370"/>
      <c s="370"/>
      <c s="370"/>
      <c s="370"/>
      <c s="370"/>
      <c s="370"/>
      <c s="370"/>
      <c s="369"/>
      <c s="370"/>
      <c s="370"/>
      <c s="370"/>
      <c s="370"/>
      <c s="370"/>
      <c s="370"/>
      <c s="369"/>
      <c s="370"/>
      <c s="1443"/>
      <c r="AM10" s="503"/>
      <c s="503" t="str">
        <f>IF(T10="","",T10)</f>
        <v>Добавить группу потребителей</v>
      </c>
      <c s="503"/>
      <c s="503"/>
      <c s="1158">
        <v>0</v>
      </c>
    </row>
    <row r="11" spans="1:43" ht="21" customHeight="1" hidden="1">
      <c r="A11" s="1366"/>
      <c s="1366"/>
      <c s="1366"/>
      <c s="1366"/>
      <c s="2262"/>
      <c s="2262"/>
      <c s="2262"/>
      <c s="2261"/>
      <c s="1366"/>
      <c s="1366"/>
      <c s="1366"/>
      <c s="1367"/>
      <c s="1368"/>
      <c s="1368"/>
      <c s="540"/>
      <c s="363"/>
      <c s="378"/>
      <c s="358"/>
      <c s="1281"/>
      <c s="375" t="s">
        <v>488</v>
      </c>
      <c s="370"/>
      <c s="370"/>
      <c s="370"/>
      <c s="370"/>
      <c s="370"/>
      <c s="370"/>
      <c s="370"/>
      <c s="369"/>
      <c s="370"/>
      <c s="370"/>
      <c s="370"/>
      <c s="370"/>
      <c s="370"/>
      <c s="370"/>
      <c s="369"/>
      <c s="370"/>
      <c s="306"/>
      <c r="AM11" s="503"/>
      <c s="503" t="str">
        <f>IF(T11="","",T11)</f>
        <v>Добавить наименование признака дифференциации</v>
      </c>
      <c s="503"/>
      <c s="503"/>
      <c s="1158">
        <v>0</v>
      </c>
    </row>
    <row r="12" spans="1:43" s="1645" customFormat="1" ht="14.25" customHeight="1" hidden="1">
      <c r="A12" s="1346"/>
      <c s="1346"/>
      <c s="1317"/>
      <c s="1317"/>
      <c s="2262"/>
      <c s="2261"/>
      <c s="1317"/>
      <c s="1317"/>
      <c s="1317"/>
      <c s="1317"/>
      <c s="1317"/>
      <c s="1461"/>
      <c s="1324"/>
      <c s="1324"/>
      <c r="P12" s="1319"/>
      <c s="1320"/>
      <c s="1319"/>
      <c s="1325"/>
      <c s="1328" t="s">
        <v>415</v>
      </c>
      <c s="1327"/>
      <c s="1327"/>
      <c s="1327"/>
      <c s="1327"/>
      <c s="1327"/>
      <c s="1327"/>
      <c s="1327"/>
      <c s="1327"/>
      <c s="1327"/>
      <c s="1327"/>
      <c s="1327"/>
      <c s="1327"/>
      <c s="1327"/>
      <c s="1327"/>
      <c s="1327"/>
      <c s="1327"/>
      <c s="1327"/>
      <c r="AM12" s="792"/>
      <c s="792" t="str">
        <f>IF(T12="","",T12)</f>
        <v>Добавить централизованную систему для дифференциации</v>
      </c>
      <c s="792"/>
      <c s="792"/>
      <c s="521">
        <v>0</v>
      </c>
    </row>
    <row r="13" spans="1:43" s="1645" customFormat="1" ht="14.25" customHeight="1" hidden="1">
      <c r="A13" s="1346"/>
      <c s="1346"/>
      <c s="1346"/>
      <c s="1346"/>
      <c s="2261"/>
      <c s="1346"/>
      <c s="1346"/>
      <c s="1346"/>
      <c s="1346"/>
      <c s="1346"/>
      <c s="1346"/>
      <c s="1349"/>
      <c s="1324"/>
      <c s="1324"/>
      <c s="521"/>
      <c s="383"/>
      <c s="1347"/>
      <c s="383"/>
      <c s="1325"/>
      <c s="1328" t="s">
        <v>416</v>
      </c>
      <c s="1327"/>
      <c s="1327"/>
      <c s="1327"/>
      <c s="1327"/>
      <c s="1327"/>
      <c s="1327"/>
      <c s="1327"/>
      <c s="1327"/>
      <c s="1327"/>
      <c s="1327"/>
      <c s="1327"/>
      <c s="1327"/>
      <c s="1327"/>
      <c s="1327"/>
      <c s="1327"/>
      <c s="1327"/>
      <c s="1327"/>
      <c r="AM13" s="503"/>
      <c s="503" t="str">
        <f>IF(T13="","",T13)</f>
        <v>Добавить территорию для дифференциации</v>
      </c>
      <c s="503"/>
      <c s="503"/>
      <c s="514">
        <v>0</v>
      </c>
    </row>
    <row r="14" spans="28:43" ht="14.25" customHeight="1" hidden="1">
      <c r="AB14" s="330"/>
      <c r="AI14" s="330"/>
      <c r="AQ14" s="1158">
        <v>0</v>
      </c>
    </row>
    <row r="15" spans="29:43" ht="14.25" customHeight="1" hidden="1">
      <c r="AC15" s="1363"/>
      <c s="1363"/>
      <c s="1364"/>
      <c s="2270"/>
      <c s="2271" t="s">
        <v>65</v>
      </c>
      <c s="2270"/>
      <c s="2271" t="s">
        <v>65</v>
      </c>
      <c r="AQ15" s="1158">
        <v>0</v>
      </c>
    </row>
    <row r="16" spans="29:43" ht="14.25" customHeight="1" hidden="1">
      <c r="AC16" s="1363"/>
      <c s="1363"/>
      <c s="331" t="str">
        <f>AF15&amp;"-"&amp;AH15</f>
        <v>-</v>
      </c>
      <c s="2271"/>
      <c s="2271"/>
      <c s="2271"/>
      <c s="2271"/>
      <c r="AQ16" s="1158">
        <v>0</v>
      </c>
    </row>
    <row r="17" spans="35:43" ht="14.25" customHeight="1" hidden="1">
      <c r="AI17" s="330"/>
      <c r="AQ17" s="1158">
        <v>0</v>
      </c>
    </row>
    <row r="18" spans="12:43" s="1369" customFormat="1" ht="22.5" customHeight="1" hidden="1">
      <c r="L18" s="1450"/>
      <c s="1365"/>
      <c s="1365"/>
      <c s="1370" t="s">
        <v>417</v>
      </c>
      <c s="1365"/>
      <c s="1374"/>
      <c s="1374"/>
      <c s="732"/>
      <c r="Y18" s="1370"/>
      <c r="AA18" s="1370"/>
      <c s="1369"/>
      <c r="AF18" s="1370"/>
      <c r="AH18" s="1370"/>
      <c s="1369"/>
      <c r="AL18" s="514"/>
      <c s="514"/>
      <c s="514"/>
      <c s="514"/>
      <c s="514"/>
      <c s="1163">
        <v>0</v>
      </c>
    </row>
    <row r="19" spans="12:43" s="1369" customFormat="1" ht="14.25" customHeight="1" hidden="1">
      <c r="L19" s="1450"/>
      <c s="1365"/>
      <c s="1365"/>
      <c s="1365"/>
      <c s="1365"/>
      <c s="1374"/>
      <c s="1374"/>
      <c s="732"/>
      <c r="AB19" s="1369"/>
      <c r="AI19" s="1369"/>
      <c r="AL19" s="514"/>
      <c s="514"/>
      <c s="514"/>
      <c s="514"/>
      <c s="514"/>
      <c s="1163">
        <v>0</v>
      </c>
    </row>
    <row r="20" spans="12:43" s="1369" customFormat="1" ht="12" customHeight="1" hidden="1">
      <c r="L20" s="1450"/>
      <c s="1365"/>
      <c s="1365"/>
      <c s="1367" t="s">
        <v>418</v>
      </c>
      <c s="1365"/>
      <c s="1445"/>
      <c s="1445"/>
      <c s="732"/>
      <c s="1163" t="s">
        <v>419</v>
      </c>
      <c r="Z20" s="189" t="s">
        <v>420</v>
      </c>
      <c r="AB20" s="189" t="s">
        <v>421</v>
      </c>
      <c s="1163" t="s">
        <v>419</v>
      </c>
      <c r="AG20" s="189" t="s">
        <v>422</v>
      </c>
      <c r="AI20" s="189" t="s">
        <v>421</v>
      </c>
      <c r="AQ20" s="1163">
        <v>0</v>
      </c>
    </row>
    <row r="21" spans="15:43" ht="14.25" customHeight="1" hidden="1">
      <c r="O21" s="1367"/>
      <c r="AQ21" s="1158">
        <v>0</v>
      </c>
    </row>
    <row r="22" spans="15:43" ht="14.25" customHeight="1" hidden="1">
      <c r="O22" s="1367"/>
      <c r="AQ22" s="1158">
        <v>0</v>
      </c>
    </row>
    <row r="23" spans="17:43" ht="14.7" customHeight="1">
      <c r="Q23" s="379"/>
      <c s="379"/>
      <c s="1278"/>
      <c s="366"/>
      <c s="366"/>
      <c s="512"/>
      <c s="512"/>
      <c s="512"/>
      <c s="512"/>
      <c s="512"/>
      <c s="512"/>
      <c s="512"/>
      <c s="512"/>
      <c s="512"/>
      <c s="512"/>
      <c s="512"/>
      <c s="512"/>
      <c s="512"/>
      <c s="512"/>
      <c r="AQ23" s="1158">
        <v>14</v>
      </c>
    </row>
    <row r="24" spans="17:43" ht="14.7" customHeight="1">
      <c r="Q24" s="379"/>
      <c s="379"/>
      <c s="2251"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s="2251"/>
      <c s="2251"/>
      <c s="2251"/>
      <c s="2251"/>
      <c s="2251"/>
      <c s="2251"/>
      <c s="2251"/>
      <c s="2251"/>
      <c s="2251"/>
      <c s="2251"/>
      <c s="2251"/>
      <c s="2251"/>
      <c s="2251"/>
      <c s="2251"/>
      <c s="2251"/>
      <c s="1246"/>
      <c r="AQ24" s="1158">
        <v>14</v>
      </c>
    </row>
    <row r="25" spans="17:43" ht="14.7" customHeight="1">
      <c r="Q25" s="379"/>
      <c s="379"/>
      <c s="2252" t="str">
        <f>IF(org=0,"Не определено",org)</f>
        <v>ГУП КК "Кубаньводкомплекс"</v>
      </c>
      <c s="2252"/>
      <c s="2252"/>
      <c s="2252"/>
      <c s="2252"/>
      <c s="2252"/>
      <c s="2252"/>
      <c s="2252"/>
      <c s="2252"/>
      <c s="2252"/>
      <c s="2252"/>
      <c s="2252"/>
      <c s="2252"/>
      <c s="2252"/>
      <c s="2252"/>
      <c s="2252"/>
      <c s="1246"/>
      <c r="AQ25" s="1158">
        <v>14</v>
      </c>
    </row>
    <row r="26" spans="17:43" ht="14.25" customHeight="1" hidden="1">
      <c r="Q26" s="379"/>
      <c s="379"/>
      <c s="1278"/>
      <c s="366"/>
      <c s="366"/>
      <c s="325"/>
      <c s="325"/>
      <c s="325"/>
      <c s="325"/>
      <c s="325"/>
      <c s="325"/>
      <c s="325"/>
      <c s="325"/>
      <c s="325"/>
      <c s="325"/>
      <c s="325"/>
      <c s="325"/>
      <c s="325"/>
      <c s="325"/>
      <c s="512"/>
      <c r="AQ26" s="1158">
        <v>0</v>
      </c>
    </row>
    <row r="27" spans="1:43" s="1856" customFormat="1" ht="25.5" customHeight="1" hidden="1">
      <c r="A27" s="1371"/>
      <c s="1371"/>
      <c s="1371"/>
      <c s="1371"/>
      <c s="1371"/>
      <c s="1371"/>
      <c s="1371"/>
      <c s="1371"/>
      <c s="1371"/>
      <c s="1371"/>
      <c s="1371"/>
      <c s="1372"/>
      <c s="1371"/>
      <c s="1371"/>
      <c s="1371"/>
      <c r="S27" s="2253" t="s">
        <v>42</v>
      </c>
      <c s="2253"/>
      <c s="1375"/>
      <c s="2254" t="str">
        <f>IF(TITLE_NAME_OR_PR_CHANGE="",IF(TITLE_NAME_OR_PR="","",TITLE_NAME_OR_PR),TITLE_NAME_OR_PR_CHANGE)</f>
        <v/>
      </c>
      <c s="2254"/>
      <c s="2254"/>
      <c s="2254"/>
      <c s="2254"/>
      <c s="2254"/>
      <c s="329"/>
      <c s="2254" t="str">
        <f>IF(TITLE_NAME_OR_PR_CHANGE="",IF(TITLE_NAME_OR_PR="","",TITLE_NAME_OR_PR),TITLE_NAME_OR_PR_CHANGE)</f>
        <v/>
      </c>
      <c s="2254"/>
      <c s="2254"/>
      <c s="2254"/>
      <c s="2254"/>
      <c s="2254"/>
      <c s="329"/>
      <c s="329"/>
      <c s="283"/>
      <c s="371"/>
      <c s="371"/>
      <c s="371"/>
      <c s="371"/>
      <c s="371"/>
      <c s="421">
        <v>0</v>
      </c>
    </row>
    <row r="28" spans="1:43" s="1856" customFormat="1" ht="18.75" customHeight="1" hidden="1">
      <c r="A28" s="1371"/>
      <c s="1371"/>
      <c s="1371"/>
      <c s="1371"/>
      <c s="1371"/>
      <c s="1371"/>
      <c s="1371"/>
      <c s="1371"/>
      <c s="1371"/>
      <c s="1371"/>
      <c s="1371"/>
      <c s="1372"/>
      <c s="1371"/>
      <c s="1371"/>
      <c s="1371"/>
      <c r="S28" s="2253" t="s">
        <v>423</v>
      </c>
      <c s="2253"/>
      <c s="1375"/>
      <c s="2267" t="str">
        <f>IF(TITLE_DATE_PR_CHANGE="",IF(TITLE_DATE_PR="","",TITLE_DATE_PR),TITLE_DATE_PR_CHANGE)</f>
        <v/>
      </c>
      <c s="2267"/>
      <c s="2267"/>
      <c s="2267"/>
      <c s="2267"/>
      <c s="2267"/>
      <c s="329"/>
      <c s="2267" t="str">
        <f>IF(TITLE_DATE_PR_CHANGE="",IF(TITLE_DATE_PR="","",TITLE_DATE_PR),TITLE_DATE_PR_CHANGE)</f>
        <v/>
      </c>
      <c s="2267"/>
      <c s="2267"/>
      <c s="2267"/>
      <c s="2267"/>
      <c s="2267"/>
      <c s="329"/>
      <c s="329"/>
      <c s="283"/>
      <c s="371"/>
      <c s="371"/>
      <c s="371"/>
      <c s="371"/>
      <c s="371"/>
      <c s="421">
        <v>0</v>
      </c>
    </row>
    <row r="29" spans="1:43" s="1856" customFormat="1" ht="18.75" customHeight="1" hidden="1">
      <c r="A29" s="1371"/>
      <c s="1371"/>
      <c s="1371"/>
      <c s="1371"/>
      <c s="1371"/>
      <c s="1371"/>
      <c s="1371"/>
      <c s="1371"/>
      <c s="1371"/>
      <c s="1371"/>
      <c s="1371"/>
      <c s="1372"/>
      <c s="1371"/>
      <c s="1371"/>
      <c s="1371"/>
      <c r="S29" s="2253" t="s">
        <v>424</v>
      </c>
      <c s="2253"/>
      <c s="1375"/>
      <c s="2254" t="str">
        <f>IF(TITLE_NUMBER_PR_CHANGE="",IF(TITLE_NUMBER_PR="","",TITLE_NUMBER_PR),TITLE_NUMBER_PR_CHANGE)</f>
        <v/>
      </c>
      <c s="2254"/>
      <c s="2254"/>
      <c s="2254"/>
      <c s="2254"/>
      <c s="2254"/>
      <c s="329"/>
      <c s="2254" t="str">
        <f>IF(TITLE_NUMBER_PR_CHANGE="",IF(TITLE_NUMBER_PR="","",TITLE_NUMBER_PR),TITLE_NUMBER_PR_CHANGE)</f>
        <v/>
      </c>
      <c s="2254"/>
      <c s="2254"/>
      <c s="2254"/>
      <c s="2254"/>
      <c s="2254"/>
      <c s="329"/>
      <c s="329"/>
      <c s="283"/>
      <c s="371"/>
      <c s="371"/>
      <c s="371"/>
      <c s="371"/>
      <c s="371"/>
      <c s="421">
        <v>0</v>
      </c>
    </row>
    <row r="30" spans="1:43" s="1856" customFormat="1" ht="18.75" customHeight="1" hidden="1">
      <c r="A30" s="1371"/>
      <c s="1371"/>
      <c s="1371"/>
      <c s="1371"/>
      <c s="1371"/>
      <c s="1371"/>
      <c s="1371"/>
      <c s="1371"/>
      <c s="1371"/>
      <c s="1371"/>
      <c s="1371"/>
      <c s="1372"/>
      <c s="1371"/>
      <c s="1371"/>
      <c s="1371"/>
      <c r="S30" s="2253" t="s">
        <v>43</v>
      </c>
      <c s="2253"/>
      <c s="1375"/>
      <c s="2254" t="str">
        <f>IF(TITLE_IST_PUB_CHANGE="",IF(TITLE_IST_PUB="","",TITLE_IST_PUB),TITLE_IST_PUB_CHANGE)</f>
        <v/>
      </c>
      <c s="2254"/>
      <c s="2254"/>
      <c s="2254"/>
      <c s="2254"/>
      <c s="2254"/>
      <c s="329"/>
      <c s="2254" t="str">
        <f>IF(TITLE_IST_PUB_CHANGE="",IF(TITLE_IST_PUB="","",TITLE_IST_PUB),TITLE_IST_PUB_CHANGE)</f>
        <v/>
      </c>
      <c s="2254"/>
      <c s="2254"/>
      <c s="2254"/>
      <c s="2254"/>
      <c s="2254"/>
      <c s="329"/>
      <c s="329"/>
      <c s="283"/>
      <c s="371"/>
      <c s="371"/>
      <c s="371"/>
      <c s="371"/>
      <c s="371"/>
      <c s="421">
        <v>0</v>
      </c>
    </row>
    <row r="31" spans="17:43" ht="14.25" customHeight="1" hidden="1">
      <c r="Q31" s="379"/>
      <c s="379"/>
      <c s="1278"/>
      <c s="366"/>
      <c s="366"/>
      <c s="325"/>
      <c s="325"/>
      <c s="325"/>
      <c s="325"/>
      <c s="325"/>
      <c s="325"/>
      <c s="325"/>
      <c s="325"/>
      <c s="325"/>
      <c s="325"/>
      <c s="325"/>
      <c s="325"/>
      <c s="325"/>
      <c s="325"/>
      <c s="512"/>
      <c r="AQ31" s="1158">
        <v>0</v>
      </c>
    </row>
    <row r="32" spans="1:43" s="1856" customFormat="1" ht="18.75" customHeight="1" hidden="1">
      <c r="A32" s="1371"/>
      <c s="1371"/>
      <c s="1371"/>
      <c s="1371"/>
      <c s="1371"/>
      <c s="1371"/>
      <c s="1371"/>
      <c s="1371"/>
      <c s="1371"/>
      <c s="1371"/>
      <c s="1371"/>
      <c s="1372"/>
      <c s="1371"/>
      <c s="1371"/>
      <c s="1371"/>
      <c r="S32" s="2253" t="s">
        <v>425</v>
      </c>
      <c s="2253"/>
      <c s="1375"/>
      <c s="2267" t="str">
        <f>IF(TITLE_DATE_PR_CHANGE="",IF(TITLE_DATE_PR="","",TITLE_DATE_PR),TITLE_DATE_PR_CHANGE)</f>
        <v/>
      </c>
      <c s="2267"/>
      <c s="2267"/>
      <c s="2267"/>
      <c s="2267"/>
      <c s="2267"/>
      <c s="329"/>
      <c s="2267" t="str">
        <f>IF(TITLE_DATE_PR_CHANGE="",IF(TITLE_DATE_PR="","",TITLE_DATE_PR),TITLE_DATE_PR_CHANGE)</f>
        <v/>
      </c>
      <c s="2267"/>
      <c s="2267"/>
      <c s="2267"/>
      <c s="2267"/>
      <c s="2267"/>
      <c s="329"/>
      <c s="329"/>
      <c s="283"/>
      <c s="371"/>
      <c s="371"/>
      <c s="371"/>
      <c s="371"/>
      <c s="371"/>
      <c s="421">
        <v>0</v>
      </c>
    </row>
    <row r="33" spans="1:43" s="1856" customFormat="1" ht="18.75" customHeight="1" hidden="1">
      <c r="A33" s="1371"/>
      <c s="1371"/>
      <c s="1371"/>
      <c s="1371"/>
      <c s="1371"/>
      <c s="1371"/>
      <c s="1371"/>
      <c s="1371"/>
      <c s="1371"/>
      <c s="1371"/>
      <c s="1371"/>
      <c s="1372"/>
      <c s="1371"/>
      <c s="1371"/>
      <c s="1371"/>
      <c r="S33" s="2253" t="s">
        <v>426</v>
      </c>
      <c s="2253"/>
      <c s="1375"/>
      <c s="2254" t="str">
        <f>IF(TITLE_NUMBER_PR_CHANGE="",IF(TITLE_NUMBER_PR="","",TITLE_NUMBER_PR),TITLE_NUMBER_PR_CHANGE)</f>
        <v/>
      </c>
      <c s="2254"/>
      <c s="2254"/>
      <c s="2254"/>
      <c s="2254"/>
      <c s="2254"/>
      <c s="329"/>
      <c s="2254" t="str">
        <f>IF(TITLE_NUMBER_PR_CHANGE="",IF(TITLE_NUMBER_PR="","",TITLE_NUMBER_PR),TITLE_NUMBER_PR_CHANGE)</f>
        <v/>
      </c>
      <c s="2254"/>
      <c s="2254"/>
      <c s="2254"/>
      <c s="2254"/>
      <c s="2254"/>
      <c s="329"/>
      <c s="329"/>
      <c s="283"/>
      <c s="371"/>
      <c s="371"/>
      <c s="371"/>
      <c s="371"/>
      <c s="371"/>
      <c s="421">
        <v>0</v>
      </c>
    </row>
    <row r="34" spans="1:43" s="1856" customFormat="1" ht="1.05" customHeight="1">
      <c r="A34" s="1371"/>
      <c s="1371"/>
      <c s="1371"/>
      <c s="1371"/>
      <c s="1371"/>
      <c s="1371"/>
      <c s="1371"/>
      <c s="1371"/>
      <c s="1371"/>
      <c s="1371"/>
      <c s="1371"/>
      <c s="1372"/>
      <c s="1371"/>
      <c s="1371"/>
      <c s="1371"/>
      <c r="S34" s="326"/>
      <c s="326"/>
      <c s="1457"/>
      <c s="329"/>
      <c s="329"/>
      <c s="329"/>
      <c s="329"/>
      <c s="329"/>
      <c s="329"/>
      <c s="281" t="s">
        <v>427</v>
      </c>
      <c s="329"/>
      <c s="329"/>
      <c s="329"/>
      <c s="329"/>
      <c s="329"/>
      <c s="329"/>
      <c s="281" t="s">
        <v>427</v>
      </c>
      <c r="AL34" s="371"/>
      <c s="371"/>
      <c s="371"/>
      <c s="371"/>
      <c s="371"/>
      <c s="421">
        <v>1</v>
      </c>
    </row>
    <row r="35" spans="17:43" ht="14.7" customHeight="1">
      <c r="Q35" s="379"/>
      <c s="379"/>
      <c s="1278"/>
      <c s="366"/>
      <c s="1247"/>
      <c s="2255"/>
      <c s="2255"/>
      <c s="2255"/>
      <c s="2255"/>
      <c s="2255"/>
      <c s="2255"/>
      <c s="2255"/>
      <c s="2255"/>
      <c s="2255"/>
      <c s="2255"/>
      <c s="2255"/>
      <c s="2255"/>
      <c s="2255"/>
      <c s="2255"/>
      <c r="AQ35" s="1158">
        <v>14</v>
      </c>
    </row>
    <row r="36" spans="17:43" ht="14.7" customHeight="1">
      <c r="Q36" s="379"/>
      <c s="379"/>
      <c s="2130" t="s">
        <v>300</v>
      </c>
      <c s="2130"/>
      <c s="2130"/>
      <c s="2130"/>
      <c s="2130"/>
      <c s="2130"/>
      <c s="2130"/>
      <c s="2130"/>
      <c s="2130"/>
      <c s="2130"/>
      <c s="2130"/>
      <c s="2130"/>
      <c s="2130"/>
      <c s="2130"/>
      <c s="2130"/>
      <c s="2130"/>
      <c s="2130"/>
      <c s="2130"/>
      <c s="2130" t="s">
        <v>301</v>
      </c>
      <c r="AQ36" s="1158">
        <v>14</v>
      </c>
    </row>
    <row r="37" spans="17:43" ht="14.7" customHeight="1">
      <c r="Q37" s="379"/>
      <c s="379"/>
      <c s="2276" t="s">
        <v>87</v>
      </c>
      <c s="2212" t="s">
        <v>428</v>
      </c>
      <c s="304"/>
      <c s="2277" t="s">
        <v>429</v>
      </c>
      <c s="2278"/>
      <c s="2278"/>
      <c s="2278"/>
      <c s="2278"/>
      <c s="2279"/>
      <c s="2280" t="s">
        <v>430</v>
      </c>
      <c s="2277" t="s">
        <v>429</v>
      </c>
      <c s="2278"/>
      <c s="2278"/>
      <c s="2278"/>
      <c s="2278"/>
      <c s="2279"/>
      <c s="2280" t="s">
        <v>431</v>
      </c>
      <c s="2283" t="s">
        <v>432</v>
      </c>
      <c s="2130"/>
      <c r="AQ37" s="1158">
        <v>14</v>
      </c>
    </row>
    <row r="38" spans="17:43" ht="35.7" customHeight="1">
      <c r="Q38" s="379"/>
      <c s="379"/>
      <c s="2276"/>
      <c s="2212"/>
      <c s="1034"/>
      <c s="1455" t="s">
        <v>489</v>
      </c>
      <c s="2265" t="s">
        <v>435</v>
      </c>
      <c s="2266"/>
      <c s="2265" t="s">
        <v>436</v>
      </c>
      <c s="2272"/>
      <c s="2266"/>
      <c s="2281"/>
      <c s="1455" t="s">
        <v>489</v>
      </c>
      <c s="2265" t="s">
        <v>435</v>
      </c>
      <c s="2266"/>
      <c s="2265" t="s">
        <v>436</v>
      </c>
      <c s="2272"/>
      <c s="2266"/>
      <c s="2281"/>
      <c s="2284"/>
      <c s="2130"/>
      <c r="AQ38" s="1158">
        <v>34</v>
      </c>
    </row>
    <row r="39" spans="1:43" ht="35.7" customHeight="1">
      <c r="A39" s="1373"/>
      <c s="1373" t="s">
        <v>137</v>
      </c>
      <c s="1373" t="s">
        <v>138</v>
      </c>
      <c s="1373" t="s">
        <v>139</v>
      </c>
      <c s="1367" t="s">
        <v>437</v>
      </c>
      <c s="1367" t="s">
        <v>438</v>
      </c>
      <c s="1367" t="s">
        <v>439</v>
      </c>
      <c s="1367"/>
      <c s="1367" t="s">
        <v>490</v>
      </c>
      <c s="1367" t="s">
        <v>442</v>
      </c>
      <c s="1367" t="s">
        <v>491</v>
      </c>
      <c s="1367" t="s">
        <v>418</v>
      </c>
      <c r="Q39" s="379"/>
      <c s="379"/>
      <c s="2276"/>
      <c s="2212"/>
      <c s="305"/>
      <c s="1455" t="s">
        <v>492</v>
      </c>
      <c s="1225" t="s">
        <v>493</v>
      </c>
      <c s="1225" t="s">
        <v>494</v>
      </c>
      <c s="1458" t="s">
        <v>446</v>
      </c>
      <c s="2273" t="s">
        <v>447</v>
      </c>
      <c s="2274"/>
      <c s="2282"/>
      <c s="1455" t="s">
        <v>492</v>
      </c>
      <c s="1225" t="s">
        <v>493</v>
      </c>
      <c s="1225" t="s">
        <v>494</v>
      </c>
      <c s="1458" t="s">
        <v>446</v>
      </c>
      <c s="2273" t="s">
        <v>447</v>
      </c>
      <c s="2274"/>
      <c s="2282"/>
      <c s="2285"/>
      <c s="2130"/>
      <c r="AQ39" s="1158">
        <v>34</v>
      </c>
    </row>
    <row r="40" spans="1:43" s="1644" customFormat="1" ht="0" customHeight="1">
      <c r="A40" s="1373"/>
      <c s="1373"/>
      <c s="1373"/>
      <c s="1373"/>
      <c s="1373"/>
      <c s="1373"/>
      <c s="1373"/>
      <c s="1373"/>
      <c s="1373"/>
      <c s="1373"/>
      <c s="1373"/>
      <c s="1367"/>
      <c s="1365"/>
      <c s="1365"/>
      <c s="1365"/>
      <c s="1249"/>
      <c s="1250"/>
      <c s="1257">
        <v>1</v>
      </c>
      <c s="1280" t="s">
        <v>109</v>
      </c>
      <c s="1258" t="s">
        <v>110</v>
      </c>
      <c s="1248" t="str">
        <f ca="1">OFFSET(U40,0,-1)</f>
        <v>2</v>
      </c>
      <c s="1454">
        <f ca="1">OFFSET(V40,0,-1)+1</f>
        <v>3</v>
      </c>
      <c s="1454">
        <f ca="1">OFFSET(W40,0,-1)+1</f>
        <v>4</v>
      </c>
      <c s="1454">
        <f ca="1">OFFSET(X40,0,-1)+1</f>
        <v>5</v>
      </c>
      <c s="1454">
        <f ca="1">OFFSET(Y40,0,-1)+1</f>
        <v>6</v>
      </c>
      <c s="2275">
        <f ca="1">OFFSET(Z40,0,-1)+1</f>
        <v>7</v>
      </c>
      <c s="2275"/>
      <c s="1454">
        <f ca="1">OFFSET(AB40,0,-2)+1</f>
        <v>8</v>
      </c>
      <c s="1454">
        <f ca="1">OFFSET(AC40,0,-1)+1</f>
        <v>9</v>
      </c>
      <c s="1454">
        <f ca="1">OFFSET(AD40,0,-1)+1</f>
        <v>10</v>
      </c>
      <c s="1454">
        <f ca="1">OFFSET(AE40,0,-1)+1</f>
        <v>11</v>
      </c>
      <c s="1454">
        <f ca="1">OFFSET(AF40,0,-1)+1</f>
        <v>12</v>
      </c>
      <c s="2275">
        <f ca="1">OFFSET(AG40,0,-1)+1</f>
        <v>13</v>
      </c>
      <c s="2275"/>
      <c s="1454">
        <f ca="1">OFFSET(AI40,0,-2)+1</f>
        <v>14</v>
      </c>
      <c s="1248">
        <f ca="1">OFFSET(AJ40,0,-1)</f>
        <v>14</v>
      </c>
      <c s="1454">
        <f ca="1">OFFSET(AK40,0,-1)+1</f>
        <v>15</v>
      </c>
      <c s="514"/>
      <c s="514"/>
      <c s="514"/>
      <c s="514"/>
      <c s="514"/>
      <c s="499">
        <v>0</v>
      </c>
    </row>
    <row r="41" spans="1:43" ht="24" customHeight="1">
      <c r="A41" s="1366" t="s">
        <v>236</v>
      </c>
      <c s="1366"/>
      <c s="1366"/>
      <c s="1366"/>
      <c s="2261">
        <v>1</v>
      </c>
      <c s="1366"/>
      <c s="1366"/>
      <c s="1366"/>
      <c s="1366"/>
      <c s="1366"/>
      <c s="1366"/>
      <c s="1367"/>
      <c s="1368"/>
      <c s="1368"/>
      <c s="1368"/>
      <c s="364"/>
      <c s="363"/>
      <c s="358"/>
      <c s="1460">
        <f>INDEX(PT_DIFFERENTIATION_NUM_NTAR,MATCH(A41,PT_DIFFERENTIATION_NTAR_ID,0))</f>
        <v>0</v>
      </c>
      <c s="301" t="s">
        <v>125</v>
      </c>
      <c s="303"/>
      <c s="2245"/>
      <c s="2246"/>
      <c s="2246"/>
      <c s="2246"/>
      <c s="2246"/>
      <c s="2246"/>
      <c s="2247"/>
      <c s="2245" t="str">
        <f>INDEX(PT_DIFFERENTIATION_NTAR,MATCH(A41,PT_DIFFERENTIATION_NTAR_ID,0))</f>
        <v/>
      </c>
      <c s="2246"/>
      <c s="2246"/>
      <c s="2246"/>
      <c s="2246"/>
      <c s="2246"/>
      <c s="2246"/>
      <c s="2247"/>
      <c s="126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3"/>
      <c s="503" t="str">
        <f>IF(T41="","",T41)</f>
        <v>Наименование тарифа</v>
      </c>
      <c s="503"/>
      <c s="503"/>
      <c s="1158">
        <v>23</v>
      </c>
    </row>
    <row r="42" spans="1:43" ht="24" customHeight="1">
      <c r="A42" s="1366" t="s">
        <v>236</v>
      </c>
      <c s="1366" t="s">
        <v>237</v>
      </c>
      <c s="1366"/>
      <c s="1366"/>
      <c s="2262"/>
      <c s="2261">
        <v>1</v>
      </c>
      <c s="1366"/>
      <c s="1366"/>
      <c s="1366"/>
      <c s="1366"/>
      <c s="1366"/>
      <c s="1367"/>
      <c s="1368"/>
      <c s="1368"/>
      <c s="1368"/>
      <c s="1456"/>
      <c s="355"/>
      <c s="356"/>
      <c s="1460" t="str">
        <f>INDEX(PT_DIFFERENTIATION_NUM_TER,MATCH(B42,PT_DIFFERENTIATION_TER_ID,0))</f>
        <v>.</v>
      </c>
      <c s="311" t="s">
        <v>397</v>
      </c>
      <c s="303"/>
      <c s="2245"/>
      <c s="2246"/>
      <c s="2246"/>
      <c s="2246"/>
      <c s="2246"/>
      <c s="2246"/>
      <c s="2247"/>
      <c s="2245" t="str">
        <f>INDEX(PT_DIFFERENTIATION_TER,MATCH(B42,PT_DIFFERENTIATION_TER_ID,0))</f>
        <v/>
      </c>
      <c s="2246"/>
      <c s="2246"/>
      <c s="2246"/>
      <c s="2246"/>
      <c s="2246"/>
      <c s="2246"/>
      <c s="2247"/>
      <c s="1261" t="s">
        <v>398</v>
      </c>
      <c r="AM42" s="503"/>
      <c s="503" t="str">
        <f>IF(T42="","",T42)</f>
        <v>Территория действия тарифа</v>
      </c>
      <c s="503"/>
      <c s="503"/>
      <c s="1158">
        <v>23</v>
      </c>
    </row>
    <row r="43" spans="1:43" ht="24" customHeight="1">
      <c r="A43" s="1366" t="s">
        <v>236</v>
      </c>
      <c s="1366" t="s">
        <v>237</v>
      </c>
      <c s="1366" t="s">
        <v>238</v>
      </c>
      <c s="1366"/>
      <c s="2262"/>
      <c s="2262"/>
      <c s="2261">
        <v>1</v>
      </c>
      <c s="1366"/>
      <c s="1366"/>
      <c s="1366"/>
      <c s="1366"/>
      <c s="1367"/>
      <c s="1368"/>
      <c s="1368"/>
      <c s="1368"/>
      <c s="357"/>
      <c s="355"/>
      <c s="356"/>
      <c s="1460" t="str">
        <f>INDEX(PT_DIFFERENTIATION_NUM_CS,MATCH(C43,PT_DIFFERENTIATION_CS_ID,0))</f>
        <v>..</v>
      </c>
      <c s="312" t="s">
        <v>481</v>
      </c>
      <c s="303"/>
      <c s="2245"/>
      <c s="2246"/>
      <c s="2246"/>
      <c s="2246"/>
      <c s="2246"/>
      <c s="2246"/>
      <c s="2247"/>
      <c s="2245" t="str">
        <f>INDEX(PT_DIFFERENTIATION_CS,MATCH(C43,PT_DIFFERENTIATION_CS_ID,0))</f>
        <v/>
      </c>
      <c s="2246"/>
      <c s="2246"/>
      <c s="2246"/>
      <c s="2246"/>
      <c s="2246"/>
      <c s="2246"/>
      <c s="2247"/>
      <c s="1261" t="s">
        <v>482</v>
      </c>
      <c r="AM43" s="503"/>
      <c s="503" t="str">
        <f>IF(T43="","",T43)</f>
        <v>Наименование централизованной системы холодного водоснабжения</v>
      </c>
      <c s="503"/>
      <c s="503"/>
      <c s="1158">
        <v>23</v>
      </c>
    </row>
    <row r="44" spans="1:43" ht="24" customHeight="1">
      <c r="A44" s="1366" t="s">
        <v>236</v>
      </c>
      <c s="1366" t="s">
        <v>237</v>
      </c>
      <c s="1366" t="s">
        <v>238</v>
      </c>
      <c s="1366" t="s">
        <v>497</v>
      </c>
      <c s="2262"/>
      <c s="2262"/>
      <c s="2262"/>
      <c s="2262"/>
      <c s="2259" t="str">
        <f>S43&amp;".1"</f>
        <v>...1</v>
      </c>
      <c s="1366"/>
      <c s="1366"/>
      <c s="1367"/>
      <c r="P44" s="2260">
        <v>1</v>
      </c>
      <c s="1453"/>
      <c s="359"/>
      <c s="1460" t="str">
        <f>$I44</f>
        <v>...1</v>
      </c>
      <c s="288" t="s">
        <v>483</v>
      </c>
      <c s="303"/>
      <c s="2353"/>
      <c s="2354"/>
      <c s="2354"/>
      <c s="2354"/>
      <c s="2354"/>
      <c s="2354"/>
      <c s="2355"/>
      <c s="2356"/>
      <c s="2357"/>
      <c s="2357"/>
      <c s="2357"/>
      <c s="2357"/>
      <c s="2357"/>
      <c s="2357"/>
      <c s="2358"/>
      <c s="1261" t="s">
        <v>484</v>
      </c>
      <c r="AM44" s="503"/>
      <c s="503" t="str">
        <f>IF(T44="","",T44)</f>
        <v>Наименование признака дифференциации</v>
      </c>
      <c s="503"/>
      <c s="503"/>
      <c s="1158">
        <v>23</v>
      </c>
    </row>
    <row r="45" spans="1:43" ht="24" customHeight="1">
      <c r="A45" s="1366" t="s">
        <v>236</v>
      </c>
      <c s="1366" t="s">
        <v>237</v>
      </c>
      <c s="1366" t="s">
        <v>238</v>
      </c>
      <c s="1366" t="s">
        <v>497</v>
      </c>
      <c s="2262"/>
      <c s="2262"/>
      <c s="2262"/>
      <c s="2262"/>
      <c s="2289"/>
      <c s="2259" t="str">
        <f>I44&amp;".1"</f>
        <v>...1.1</v>
      </c>
      <c s="1366"/>
      <c s="1367" t="s">
        <v>406</v>
      </c>
      <c r="P45" s="2260"/>
      <c s="2260">
        <v>1</v>
      </c>
      <c s="360"/>
      <c s="1460" t="str">
        <f>$J45</f>
        <v>...1.1</v>
      </c>
      <c s="289" t="s">
        <v>407</v>
      </c>
      <c s="303"/>
      <c s="2248"/>
      <c s="2249"/>
      <c s="2249"/>
      <c s="2249"/>
      <c s="2249"/>
      <c s="2249"/>
      <c s="2250"/>
      <c s="2248"/>
      <c s="2249"/>
      <c s="2249"/>
      <c s="2249"/>
      <c s="2249"/>
      <c s="2249"/>
      <c s="2249"/>
      <c s="2250"/>
      <c s="1310" t="s">
        <v>485</v>
      </c>
      <c r="AM45" s="503"/>
      <c s="503" t="str">
        <f>IF(T45="","",T45)</f>
        <v>Группа потребителей</v>
      </c>
      <c s="503"/>
      <c s="503"/>
      <c s="1158">
        <v>23</v>
      </c>
    </row>
    <row r="46" spans="1:43" ht="24" customHeight="1">
      <c r="A46" s="1366" t="s">
        <v>236</v>
      </c>
      <c s="1366" t="s">
        <v>237</v>
      </c>
      <c s="1366" t="s">
        <v>238</v>
      </c>
      <c s="1366" t="s">
        <v>497</v>
      </c>
      <c s="2262"/>
      <c s="2262"/>
      <c s="2262"/>
      <c s="2262"/>
      <c s="2289"/>
      <c s="2289"/>
      <c s="2259" t="str">
        <f>J45&amp;".1"</f>
        <v>...1.1.1</v>
      </c>
      <c s="1367"/>
      <c r="P46" s="2260"/>
      <c s="2260"/>
      <c s="360">
        <v>1</v>
      </c>
      <c s="1460" t="str">
        <f>$K46</f>
        <v>...1.1.1</v>
      </c>
      <c s="1440"/>
      <c s="303"/>
      <c s="754"/>
      <c s="754"/>
      <c s="1260"/>
      <c s="2268"/>
      <c s="2110" t="s">
        <v>65</v>
      </c>
      <c s="2268"/>
      <c s="2110" t="s">
        <v>65</v>
      </c>
      <c s="754"/>
      <c s="754"/>
      <c s="1260"/>
      <c s="2268"/>
      <c s="2110" t="s">
        <v>65</v>
      </c>
      <c s="2290"/>
      <c s="2110" t="s">
        <v>65</v>
      </c>
      <c s="1441"/>
      <c s="235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s="514">
        <f>STRCHECKDATE(V47:AJ47)</f>
      </c>
      <c s="503"/>
      <c s="503" t="str">
        <f>IF(T46="","",T46)</f>
        <v/>
      </c>
      <c s="503"/>
      <c s="503"/>
      <c s="1158">
        <v>23</v>
      </c>
    </row>
    <row r="47" spans="1:43" ht="0" customHeight="1">
      <c r="A47" s="1366" t="s">
        <v>236</v>
      </c>
      <c s="1366" t="s">
        <v>237</v>
      </c>
      <c s="1366" t="s">
        <v>238</v>
      </c>
      <c s="1366" t="s">
        <v>497</v>
      </c>
      <c s="2262"/>
      <c s="2262"/>
      <c s="2262"/>
      <c s="2262"/>
      <c s="2289"/>
      <c s="2289"/>
      <c s="2259"/>
      <c s="1367"/>
      <c r="P47" s="2260"/>
      <c s="2260"/>
      <c s="360"/>
      <c s="1459"/>
      <c s="303"/>
      <c s="303"/>
      <c s="328"/>
      <c s="328"/>
      <c s="331" t="str">
        <f>Y46&amp;"-"&amp;AA46</f>
        <v>-</v>
      </c>
      <c s="2269"/>
      <c s="2110"/>
      <c s="2269"/>
      <c s="2110"/>
      <c s="328"/>
      <c s="328"/>
      <c s="331" t="str">
        <f>AF46&amp;"-"&amp;AH46</f>
        <v>-</v>
      </c>
      <c s="2269"/>
      <c s="2110"/>
      <c s="2291"/>
      <c s="2110"/>
      <c s="1442"/>
      <c s="2352"/>
      <c r="AM47" s="503"/>
      <c s="503" t="str">
        <f>IF(T47="","",T47)</f>
        <v/>
      </c>
      <c s="503"/>
      <c s="503"/>
      <c s="1158">
        <v>0</v>
      </c>
    </row>
    <row r="48" spans="1:43" ht="21" customHeight="1">
      <c r="A48" s="1366" t="s">
        <v>236</v>
      </c>
      <c s="1366" t="s">
        <v>237</v>
      </c>
      <c s="1366" t="s">
        <v>238</v>
      </c>
      <c s="1366" t="s">
        <v>497</v>
      </c>
      <c s="2262"/>
      <c s="2262"/>
      <c s="2262"/>
      <c s="2262"/>
      <c s="2289"/>
      <c s="2259"/>
      <c s="1366"/>
      <c s="1367"/>
      <c r="P48" s="2260"/>
      <c s="2260"/>
      <c s="359"/>
      <c s="1281"/>
      <c s="290" t="s">
        <v>486</v>
      </c>
      <c s="370"/>
      <c s="370"/>
      <c s="370"/>
      <c s="370"/>
      <c s="370"/>
      <c s="370"/>
      <c s="370"/>
      <c s="370"/>
      <c s="370"/>
      <c s="370"/>
      <c s="370"/>
      <c s="370"/>
      <c s="370"/>
      <c s="370"/>
      <c s="370"/>
      <c s="370"/>
      <c s="1261" t="s">
        <v>487</v>
      </c>
      <c r="AM48" s="503"/>
      <c s="503" t="str">
        <f>IF(T48="","",T48)</f>
        <v>Добавить значение признака дифференциации</v>
      </c>
      <c s="503"/>
      <c s="503"/>
      <c s="1158">
        <v>20</v>
      </c>
    </row>
    <row r="49" spans="1:43" ht="22.05" customHeight="1">
      <c r="A49" s="1366" t="s">
        <v>236</v>
      </c>
      <c s="1366" t="s">
        <v>237</v>
      </c>
      <c s="1366" t="s">
        <v>238</v>
      </c>
      <c s="1366" t="s">
        <v>497</v>
      </c>
      <c s="2262"/>
      <c s="2262"/>
      <c s="2262"/>
      <c s="2262"/>
      <c s="2259"/>
      <c s="1366"/>
      <c s="1366"/>
      <c s="1367"/>
      <c r="P49" s="2260"/>
      <c s="1453"/>
      <c s="359"/>
      <c s="1281"/>
      <c s="368" t="s">
        <v>412</v>
      </c>
      <c s="370"/>
      <c s="370"/>
      <c s="370"/>
      <c s="370"/>
      <c s="370"/>
      <c s="370"/>
      <c s="370"/>
      <c s="369"/>
      <c s="370"/>
      <c s="370"/>
      <c s="370"/>
      <c s="370"/>
      <c s="370"/>
      <c s="370"/>
      <c s="369"/>
      <c s="370"/>
      <c s="1443"/>
      <c r="AM49" s="503"/>
      <c s="503" t="str">
        <f>IF(T49="","",T49)</f>
        <v>Добавить группу потребителей</v>
      </c>
      <c s="503"/>
      <c s="503"/>
      <c s="1158">
        <v>21</v>
      </c>
    </row>
    <row r="50" spans="1:43" ht="22.05" customHeight="1">
      <c r="A50" s="1366" t="s">
        <v>236</v>
      </c>
      <c s="1366" t="s">
        <v>237</v>
      </c>
      <c s="1366" t="s">
        <v>238</v>
      </c>
      <c s="1366" t="s">
        <v>497</v>
      </c>
      <c s="2262"/>
      <c s="2262"/>
      <c s="2262"/>
      <c s="2261"/>
      <c s="1366"/>
      <c s="1366"/>
      <c s="1366"/>
      <c s="1367"/>
      <c s="1368"/>
      <c s="1368"/>
      <c s="540"/>
      <c s="363"/>
      <c s="378"/>
      <c s="358"/>
      <c s="1281"/>
      <c s="375" t="s">
        <v>488</v>
      </c>
      <c s="370"/>
      <c s="370"/>
      <c s="370"/>
      <c s="370"/>
      <c s="370"/>
      <c s="370"/>
      <c s="370"/>
      <c s="369"/>
      <c s="370"/>
      <c s="370"/>
      <c s="370"/>
      <c s="370"/>
      <c s="370"/>
      <c s="370"/>
      <c s="369"/>
      <c s="370"/>
      <c s="306"/>
      <c r="AM50" s="503"/>
      <c s="503" t="str">
        <f>IF(T50="","",T50)</f>
        <v>Добавить наименование признака дифференциации</v>
      </c>
      <c s="503"/>
      <c s="503"/>
      <c s="1158">
        <v>21</v>
      </c>
    </row>
    <row r="51" spans="1:43" s="1645" customFormat="1" ht="0" customHeight="1">
      <c r="A51" s="1346" t="s">
        <v>236</v>
      </c>
      <c s="1346" t="s">
        <v>237</v>
      </c>
      <c s="1317"/>
      <c s="1317"/>
      <c s="2262"/>
      <c s="2261"/>
      <c s="1317"/>
      <c s="1317"/>
      <c s="1317"/>
      <c s="1317"/>
      <c s="1317"/>
      <c s="1461"/>
      <c s="1324"/>
      <c s="1324"/>
      <c r="P51" s="1319"/>
      <c s="1320"/>
      <c s="1319"/>
      <c s="1325"/>
      <c s="1328" t="s">
        <v>415</v>
      </c>
      <c s="1327"/>
      <c s="1327"/>
      <c s="1327"/>
      <c s="1327"/>
      <c s="1327"/>
      <c s="1327"/>
      <c s="1327"/>
      <c s="1327"/>
      <c s="1327"/>
      <c s="1327"/>
      <c s="1327"/>
      <c s="1327"/>
      <c s="1327"/>
      <c s="1327"/>
      <c s="1327"/>
      <c s="1327"/>
      <c s="1327"/>
      <c r="AM51" s="792"/>
      <c s="792" t="str">
        <f>IF(T51="","",T51)</f>
        <v>Добавить централизованную систему для дифференциации</v>
      </c>
      <c s="792"/>
      <c s="792"/>
      <c s="521">
        <v>0</v>
      </c>
    </row>
    <row r="52" spans="1:43" s="1645" customFormat="1" ht="0" customHeight="1">
      <c r="A52" s="1346" t="s">
        <v>236</v>
      </c>
      <c s="1346"/>
      <c s="1346"/>
      <c s="1346"/>
      <c s="2261"/>
      <c s="1346"/>
      <c s="1346"/>
      <c s="1346"/>
      <c s="1346"/>
      <c s="1346"/>
      <c s="1346"/>
      <c s="1349"/>
      <c s="1324"/>
      <c s="1324"/>
      <c s="521"/>
      <c s="383"/>
      <c s="1347"/>
      <c s="383"/>
      <c s="1325"/>
      <c s="1328" t="s">
        <v>416</v>
      </c>
      <c s="1327"/>
      <c s="1327"/>
      <c s="1327"/>
      <c s="1327"/>
      <c s="1327"/>
      <c s="1327"/>
      <c s="1327"/>
      <c s="1327"/>
      <c s="1327"/>
      <c s="1327"/>
      <c s="1327"/>
      <c s="1327"/>
      <c s="1327"/>
      <c s="1327"/>
      <c s="1327"/>
      <c s="1327"/>
      <c s="1327"/>
      <c r="AM52" s="503"/>
      <c s="503" t="str">
        <f>IF(T52="","",T52)</f>
        <v>Добавить территорию для дифференциации</v>
      </c>
      <c s="503"/>
      <c s="503"/>
      <c s="514">
        <v>0</v>
      </c>
    </row>
    <row r="53" spans="1:43" s="1645" customFormat="1" ht="0" customHeight="1">
      <c r="A53" s="1317"/>
      <c s="1317"/>
      <c s="1317"/>
      <c s="1317"/>
      <c s="1346"/>
      <c s="1317"/>
      <c s="1317"/>
      <c s="1317"/>
      <c s="1317"/>
      <c s="1317"/>
      <c s="1317"/>
      <c s="1461"/>
      <c s="1324"/>
      <c s="1324"/>
      <c r="P53" s="1319"/>
      <c s="1320"/>
      <c s="1319"/>
      <c s="1325"/>
      <c s="1328" t="s">
        <v>448</v>
      </c>
      <c s="1327"/>
      <c s="1327"/>
      <c s="1327"/>
      <c s="1327"/>
      <c s="1327"/>
      <c s="1327"/>
      <c s="1327"/>
      <c s="1327"/>
      <c s="1327"/>
      <c s="1327"/>
      <c s="1327"/>
      <c s="1327"/>
      <c s="1327"/>
      <c s="1327"/>
      <c s="1327"/>
      <c s="1327"/>
      <c s="1327"/>
      <c r="AM53" s="792"/>
      <c s="792" t="str">
        <f>IF(T53="","",T53)</f>
        <v>Добавить наименование тарифа</v>
      </c>
      <c s="792"/>
      <c s="792"/>
      <c s="521">
        <v>0</v>
      </c>
    </row>
    <row r="54" spans="13:43" ht="11.55" customHeight="1">
      <c r="M54" s="1163"/>
      <c s="1163"/>
      <c s="540"/>
      <c s="1158"/>
      <c s="1158"/>
      <c s="1158"/>
      <c s="1158"/>
      <c r="AL54" s="1158"/>
      <c s="1158"/>
      <c s="1158"/>
      <c s="1158"/>
      <c s="1158"/>
      <c s="1158">
        <v>11</v>
      </c>
    </row>
    <row r="55" spans="15:43" ht="14.7" customHeight="1">
      <c r="O55" s="540"/>
      <c r="S55" s="1256"/>
      <c s="2288"/>
      <c s="2288"/>
      <c s="2288"/>
      <c s="2288"/>
      <c s="2288"/>
      <c s="2288"/>
      <c s="2288"/>
      <c s="2288"/>
      <c s="2288"/>
      <c s="2288"/>
      <c s="2288"/>
      <c s="2288"/>
      <c s="2288"/>
      <c s="2288"/>
      <c s="2288"/>
      <c s="2288"/>
      <c s="2288"/>
      <c s="2288"/>
      <c r="AQ55" s="1158">
        <v>14</v>
      </c>
    </row>
    <row r="56" spans="15:43" ht="14.7" customHeight="1">
      <c r="O56" s="540"/>
      <c r="AQ56" s="1158">
        <v>14</v>
      </c>
    </row>
    <row r="57" spans="15:43" ht="14.7" customHeight="1">
      <c r="O57" s="540"/>
      <c r="S57" s="1256"/>
      <c s="2288"/>
      <c s="2288"/>
      <c s="2288"/>
      <c s="2288"/>
      <c s="2288"/>
      <c s="2288"/>
      <c s="2288"/>
      <c s="2288"/>
      <c s="2288"/>
      <c s="2288"/>
      <c s="2288"/>
      <c s="2288"/>
      <c s="2288"/>
      <c s="2288"/>
      <c s="2288"/>
      <c s="2288"/>
      <c s="2288"/>
      <c s="2288"/>
      <c r="AQ57" s="1158">
        <v>14</v>
      </c>
    </row>
    <row r="58" spans="1:43" ht="22.5" customHeight="1" hidden="1">
      <c r="A58" s="1163" t="s">
        <v>81</v>
      </c>
      <c s="1163">
        <v>0</v>
      </c>
      <c s="1163">
        <v>0</v>
      </c>
      <c s="1163">
        <v>0</v>
      </c>
      <c s="1163">
        <v>0</v>
      </c>
      <c s="1163">
        <v>0</v>
      </c>
      <c s="1163">
        <v>0</v>
      </c>
      <c s="1163">
        <v>0</v>
      </c>
      <c s="1163">
        <v>0</v>
      </c>
      <c s="1163">
        <v>0</v>
      </c>
      <c s="1163">
        <v>0</v>
      </c>
      <c s="1450">
        <v>0</v>
      </c>
      <c s="1365">
        <v>0</v>
      </c>
      <c s="1365">
        <v>0</v>
      </c>
      <c s="1365">
        <v>0</v>
      </c>
      <c s="1449">
        <v>3</v>
      </c>
      <c s="347">
        <v>3</v>
      </c>
      <c s="347">
        <v>3</v>
      </c>
      <c s="584">
        <v>12</v>
      </c>
      <c s="1158">
        <v>35</v>
      </c>
      <c s="1158">
        <v>0</v>
      </c>
      <c s="1158">
        <v>0</v>
      </c>
      <c s="1158">
        <v>0</v>
      </c>
      <c s="1158">
        <v>0</v>
      </c>
      <c s="1158">
        <v>0</v>
      </c>
      <c s="1158">
        <v>0</v>
      </c>
      <c s="1158">
        <v>0</v>
      </c>
      <c s="1158">
        <v>0</v>
      </c>
      <c s="1158">
        <v>24</v>
      </c>
      <c s="1158">
        <v>24</v>
      </c>
      <c s="1158">
        <v>24</v>
      </c>
      <c s="1158">
        <v>11</v>
      </c>
      <c s="1158">
        <v>3</v>
      </c>
      <c s="1158">
        <v>11</v>
      </c>
      <c s="1158">
        <v>0</v>
      </c>
      <c s="1158">
        <v>4</v>
      </c>
      <c s="1158">
        <v>115</v>
      </c>
      <c s="514">
        <v>10</v>
      </c>
      <c s="514">
        <v>10</v>
      </c>
      <c s="514">
        <v>10</v>
      </c>
      <c s="514">
        <v>10</v>
      </c>
      <c s="514">
        <v>10</v>
      </c>
      <c s="1158">
        <v>23</v>
      </c>
    </row>
  </sheetData>
  <sheetProtection formatColumns="0" formatRows="0" insertRows="0" deleteColumns="0" deleteRows="0" sort="0" autoFilter="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8 X65579 X131115 X196651 X262187 X327723 X393259 X458795 X524331 X589867 X655403 X720939 X786475 X852011 X917547 X983083 AE16 AE65579 AE131115 AE196651 AE262187 AE327723 AE393259 AE458795 AE524331 AE589867 AE655403 AE720939 AE786475 AE852011 AE917547 AE983083 X47 AE8 AE47"/>
    <dataValidation type="list" allowBlank="1" showInputMessage="1" showErrorMessage="1" errorTitle="Ошибка" error="Выберите значение из списка" sqref="V65576 V983080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C5:AJ5 AK65572:AK65579 AK131108:AK131115 AK196644:AK196651 AK262180:AK262187 AK327716:AK327723 AK393252:AK393259 AK458788:AK458795 AK524324:AK524331 AK589860:AK589867 AK655396:AK655403 AK720932:AK720939 AK786468:AK786475 AK852004:AK852011 AK917540:AK917547 AK983076:AK983083 T46 T7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7 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AA7"/>
    <dataValidation allowBlank="1" showInputMessage="1" showErrorMessage="1" prompt="Для выбора выполните двойной щелчок левой клавиши мыши по соответствующей ячейке." sqref="Z7 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AB7 AI327722 AI393258"/>
    <dataValidation allowBlank="1" sqref="S65580:AK65586 S131116:AK131122 S196652:AK196658 S262188:AK262194 S327724:AK327730 S393260:AK393266 S458796:AK458802 S524332:AK524338 S589868:AK589874 S655404:AK655410 S720940:AK720946 S786476:AK786482 S852012:AK852018 S917548:AK917554 S983084:AK983090"/>
    <dataValidation type="list" allowBlank="1" showInputMessage="1" prompt="Выберите значение из списка" errorTitle="Ошибка" error="Выберите значение из списка" sqref="V65577:AJ65577 V983081:AJ983081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 right="0.7" top="0.75" bottom="0.75" header="0.3" footer="0.3"/>
  <pageSetup orientation="portrait"/>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m="http://schemas.microsoft.com/office/excel/2006/main" xmlns:x14ac="http://schemas.microsoft.com/office/spreadsheetml/2009/9/ac" xmlns:xr="http://schemas.microsoft.com/office/spreadsheetml/2014/revision" xmlns:xr2="http://schemas.microsoft.com/office/spreadsheetml/2015/revision2" xmlns:xr3="http://schemas.microsoft.com/office/spreadsheetml/2016/revision3" xr:uid="{35910483-6561-8828-49FE-CF4076A6ADDE}" mc:Ignorable="x14ac xr xr2 xr3">
  <sheetPr>
    <tabColor theme="6" tint="0.400000005960464"/>
  </sheetPr>
  <dimension ref="A1:AQ58"/>
  <sheetViews>
    <sheetView showGridLines="0" zoomScale="90" zoomScaleNormal="90" workbookViewId="0" topLeftCell="A1">
      <pane xSplit="28" ySplit="40" topLeftCell="AC41" activePane="bottomRight" state="frozen"/>
      <selection pane="topLeft" activeCell="A1" sqref="A1"/>
      <selection pane="bottomLeft" activeCell="A41" sqref="A41"/>
      <selection pane="topRight" activeCell="AC1" sqref="AC1"/>
      <selection pane="bottomRight" activeCell="A1" sqref="A1"/>
    </sheetView>
  </sheetViews>
  <sheetFormatPr defaultColWidth="10.5742857142857" defaultRowHeight="14.25" customHeight="1"/>
  <cols>
    <col min="1" max="1" width="10.5714285714286" style="1369" hidden="1"/>
    <col min="2" max="2" width="11" style="1369" hidden="1" customWidth="1"/>
    <col min="3" max="3" width="10.5714285714286" style="1369" hidden="1"/>
    <col min="4" max="4" width="11.8571428571429" style="1369" hidden="1" customWidth="1"/>
    <col min="5" max="5" width="10" style="1369" hidden="1" customWidth="1"/>
    <col min="6" max="6" width="8.71428571428571" style="1369" hidden="1" customWidth="1"/>
    <col min="7" max="7" width="7.57142857142857" style="1369" hidden="1" customWidth="1"/>
    <col min="8" max="8" width="11.4285714285714" style="1369" hidden="1" customWidth="1"/>
    <col min="9" max="9" width="14.1428571428571" style="1369" hidden="1" customWidth="1"/>
    <col min="10" max="10" width="9.85714285714286" style="1369" hidden="1" customWidth="1"/>
    <col min="11" max="11" width="14.7142857142857" style="1369" hidden="1" customWidth="1"/>
    <col min="12" max="12" width="19.1428571428571" style="2610" hidden="1" customWidth="1"/>
    <col min="13" max="14" width="12.2857142857143" style="1779" hidden="1" customWidth="1"/>
    <col min="15" max="15" width="23.4285714285714" style="1779" hidden="1" customWidth="1"/>
    <col min="16" max="16" width="3" style="2400" customWidth="1"/>
    <col min="17" max="18" width="3" style="347" customWidth="1"/>
    <col min="19" max="19" width="12" style="2410" customWidth="1"/>
    <col min="20" max="20" width="35" style="1638" customWidth="1"/>
    <col min="21" max="21" width="0.142857142857143" style="1638" customWidth="1"/>
    <col min="22" max="24" width="24.7142857142857" style="1638" hidden="1" customWidth="1"/>
    <col min="25" max="25" width="11.7142857142857" style="1638" hidden="1" customWidth="1"/>
    <col min="26" max="26" width="3.71428571428571" style="1638" hidden="1" customWidth="1"/>
    <col min="27" max="27" width="11.7142857142857" style="1638" hidden="1" customWidth="1"/>
    <col min="28" max="28" width="8.57142857142857" style="1638" hidden="1" customWidth="1"/>
    <col min="29" max="29" width="24.7142857142857" style="1638" customWidth="1"/>
    <col min="30" max="31" width="24" style="1638" customWidth="1"/>
    <col min="32" max="32" width="11" style="1638" customWidth="1"/>
    <col min="33" max="33" width="3.71428571428571" style="1638" customWidth="1"/>
    <col min="34" max="34" width="11" style="1638" customWidth="1"/>
    <col min="35" max="35" width="8.57142857142857" style="1638" hidden="1" customWidth="1"/>
    <col min="36" max="36" width="4" style="1638" customWidth="1"/>
    <col min="37" max="37" width="115" style="1638" customWidth="1"/>
    <col min="38" max="42" width="10" style="1645" customWidth="1"/>
    <col min="43" max="43" width="10.5714285714286" style="1638" hidden="1"/>
  </cols>
  <sheetData>
    <row r="1" spans="24:43" ht="22.5" customHeight="1" hidden="1">
      <c r="X1" s="330"/>
      <c s="330"/>
      <c r="AE1" s="330"/>
      <c s="330"/>
      <c r="AQ1" s="1158" t="s">
        <v>14</v>
      </c>
    </row>
    <row r="2" spans="1:43" ht="23.25" customHeight="1" hidden="1">
      <c r="A2" s="1366"/>
      <c s="1366"/>
      <c s="1366"/>
      <c s="1366"/>
      <c s="2261">
        <v>1</v>
      </c>
      <c s="1366"/>
      <c s="1366"/>
      <c s="1366"/>
      <c s="1366"/>
      <c s="1366"/>
      <c s="1366"/>
      <c s="1367"/>
      <c s="1368"/>
      <c s="1368"/>
      <c s="1368"/>
      <c s="364"/>
      <c s="363"/>
      <c s="358"/>
      <c s="1460">
        <f>INDEX(PT_DIFFERENTIATION_NUM_NTAR,MATCH(A2,PT_DIFFERENTIATION_NTAR_ID,0))</f>
      </c>
      <c s="301" t="s">
        <v>125</v>
      </c>
      <c s="303"/>
      <c s="2245"/>
      <c s="2246"/>
      <c s="2246"/>
      <c s="2246"/>
      <c s="2246"/>
      <c s="2246"/>
      <c s="2247"/>
      <c s="2245">
        <f>INDEX(PT_DIFFERENTIATION_NTAR,MATCH(A2,PT_DIFFERENTIATION_NTAR_ID,0))</f>
      </c>
      <c s="2246"/>
      <c s="2246"/>
      <c s="2246"/>
      <c s="2246"/>
      <c s="2246"/>
      <c s="2246"/>
      <c s="2247"/>
      <c s="126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3"/>
      <c s="503" t="str">
        <f>IF(T2="","",T2)</f>
        <v>Наименование тарифа</v>
      </c>
      <c s="503"/>
      <c s="503"/>
      <c s="1158">
        <v>0</v>
      </c>
    </row>
    <row r="3" spans="1:43" ht="23.25" customHeight="1" hidden="1">
      <c r="A3" s="1366"/>
      <c s="1366"/>
      <c s="1366"/>
      <c s="1366"/>
      <c s="2262"/>
      <c s="2261">
        <v>1</v>
      </c>
      <c s="1366"/>
      <c s="1366"/>
      <c s="1366"/>
      <c s="1366"/>
      <c s="1366"/>
      <c s="1367"/>
      <c s="1368"/>
      <c s="1368"/>
      <c s="1368"/>
      <c s="1456"/>
      <c s="355"/>
      <c s="356"/>
      <c s="1460">
        <f>INDEX(PT_DIFFERENTIATION_NUM_TER,MATCH(B3,PT_DIFFERENTIATION_TER_ID,0))</f>
      </c>
      <c s="311" t="s">
        <v>397</v>
      </c>
      <c s="303"/>
      <c s="2245"/>
      <c s="2246"/>
      <c s="2246"/>
      <c s="2246"/>
      <c s="2246"/>
      <c s="2246"/>
      <c s="2247"/>
      <c s="2245">
        <f>INDEX(PT_DIFFERENTIATION_TER,MATCH(B3,PT_DIFFERENTIATION_TER_ID,0))</f>
      </c>
      <c s="2246"/>
      <c s="2246"/>
      <c s="2246"/>
      <c s="2246"/>
      <c s="2246"/>
      <c s="2246"/>
      <c s="2247"/>
      <c s="1261" t="s">
        <v>398</v>
      </c>
      <c r="AM3" s="503"/>
      <c s="503" t="str">
        <f>IF(T3="","",T3)</f>
        <v>Территория действия тарифа</v>
      </c>
      <c s="503"/>
      <c s="503"/>
      <c s="1158">
        <v>0</v>
      </c>
    </row>
    <row r="4" spans="1:43" ht="23.25" customHeight="1" hidden="1">
      <c r="A4" s="1366"/>
      <c s="1366"/>
      <c s="1366"/>
      <c s="1366"/>
      <c s="2262"/>
      <c s="2262"/>
      <c s="2261">
        <v>1</v>
      </c>
      <c s="1366"/>
      <c s="1366"/>
      <c s="1366"/>
      <c s="1366"/>
      <c s="1367"/>
      <c s="1368"/>
      <c s="1368"/>
      <c s="1368"/>
      <c s="357"/>
      <c s="355"/>
      <c s="356"/>
      <c s="1460">
        <f>INDEX(PT_DIFFERENTIATION_NUM_CS,MATCH(C4,PT_DIFFERENTIATION_CS_ID,0))</f>
      </c>
      <c s="312" t="s">
        <v>481</v>
      </c>
      <c s="303"/>
      <c s="2245"/>
      <c s="2246"/>
      <c s="2246"/>
      <c s="2246"/>
      <c s="2246"/>
      <c s="2246"/>
      <c s="2247"/>
      <c s="2245">
        <f>INDEX(PT_DIFFERENTIATION_CS,MATCH(C4,PT_DIFFERENTIATION_CS_ID,0))</f>
      </c>
      <c s="2246"/>
      <c s="2246"/>
      <c s="2246"/>
      <c s="2246"/>
      <c s="2246"/>
      <c s="2246"/>
      <c s="2247"/>
      <c s="1261" t="s">
        <v>482</v>
      </c>
      <c r="AM4" s="503"/>
      <c s="503" t="str">
        <f>IF(T4="","",T4)</f>
        <v>Наименование централизованной системы холодного водоснабжения</v>
      </c>
      <c s="503"/>
      <c s="503"/>
      <c s="1158">
        <v>0</v>
      </c>
    </row>
    <row r="5" spans="1:43" ht="23.25" customHeight="1" hidden="1">
      <c r="A5" s="1366"/>
      <c s="1366"/>
      <c s="1366"/>
      <c s="1366"/>
      <c s="2262"/>
      <c s="2262"/>
      <c s="2262"/>
      <c s="2262"/>
      <c s="2259">
        <f>S4&amp;".1"</f>
      </c>
      <c s="1366"/>
      <c s="1366"/>
      <c s="1367"/>
      <c r="P5" s="2260">
        <v>1</v>
      </c>
      <c s="1453"/>
      <c s="359"/>
      <c s="1460">
        <f>$I5</f>
      </c>
      <c s="288" t="s">
        <v>483</v>
      </c>
      <c s="303"/>
      <c s="2353"/>
      <c s="2354"/>
      <c s="2354"/>
      <c s="2354"/>
      <c s="2354"/>
      <c s="2354"/>
      <c s="2355"/>
      <c s="2356"/>
      <c s="2357"/>
      <c s="2357"/>
      <c s="2357"/>
      <c s="2357"/>
      <c s="2357"/>
      <c s="2357"/>
      <c s="2358"/>
      <c s="1261" t="s">
        <v>484</v>
      </c>
      <c r="AM5" s="503"/>
      <c s="503" t="str">
        <f>IF(T5="","",T5)</f>
        <v>Наименование признака дифференциации</v>
      </c>
      <c s="503"/>
      <c s="503"/>
      <c s="1158">
        <v>0</v>
      </c>
    </row>
    <row r="6" spans="1:43" ht="23.25" customHeight="1" hidden="1">
      <c r="A6" s="1366"/>
      <c s="1366"/>
      <c s="1366"/>
      <c s="1366"/>
      <c s="2262"/>
      <c s="2262"/>
      <c s="2262"/>
      <c s="2262"/>
      <c s="2289"/>
      <c s="2259">
        <f>I5&amp;".1"</f>
      </c>
      <c s="1366"/>
      <c s="1367" t="s">
        <v>406</v>
      </c>
      <c r="P6" s="2260"/>
      <c s="2260">
        <v>1</v>
      </c>
      <c s="360"/>
      <c s="1460">
        <f>$J6</f>
      </c>
      <c s="289" t="s">
        <v>407</v>
      </c>
      <c s="303"/>
      <c s="2248"/>
      <c s="2249"/>
      <c s="2249"/>
      <c s="2249"/>
      <c s="2249"/>
      <c s="2249"/>
      <c s="2250"/>
      <c s="2248"/>
      <c s="2249"/>
      <c s="2249"/>
      <c s="2249"/>
      <c s="2249"/>
      <c s="2249"/>
      <c s="2249"/>
      <c s="2250"/>
      <c s="1310" t="s">
        <v>485</v>
      </c>
      <c r="AM6" s="503"/>
      <c s="503" t="str">
        <f>IF(T6="","",T6)</f>
        <v>Группа потребителей</v>
      </c>
      <c s="503"/>
      <c s="503"/>
      <c s="1158">
        <v>0</v>
      </c>
    </row>
    <row r="7" spans="1:43" ht="23.25" customHeight="1" hidden="1">
      <c r="A7" s="1366"/>
      <c s="1366"/>
      <c s="1366"/>
      <c s="1366"/>
      <c s="2262"/>
      <c s="2262"/>
      <c s="2262"/>
      <c s="2262"/>
      <c s="2289"/>
      <c s="2289"/>
      <c s="2259">
        <f>J6&amp;".1"</f>
      </c>
      <c s="1367"/>
      <c r="P7" s="2260"/>
      <c s="2260"/>
      <c s="360">
        <v>1</v>
      </c>
      <c s="1460">
        <f>$K7</f>
      </c>
      <c s="1440"/>
      <c s="303"/>
      <c s="754"/>
      <c s="754"/>
      <c s="1260"/>
      <c s="2268"/>
      <c s="2110" t="s">
        <v>65</v>
      </c>
      <c s="2268"/>
      <c s="2110" t="s">
        <v>65</v>
      </c>
      <c s="754"/>
      <c s="754"/>
      <c s="1260"/>
      <c s="2268"/>
      <c s="2110" t="s">
        <v>65</v>
      </c>
      <c s="2290"/>
      <c s="2110" t="s">
        <v>65</v>
      </c>
      <c s="1441"/>
      <c s="235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s="514">
        <f>STRCHECKDATE(V8:AJ8)</f>
      </c>
      <c s="503"/>
      <c s="503" t="str">
        <f>IF(T7="","",T7)</f>
        <v/>
      </c>
      <c s="503"/>
      <c s="503"/>
      <c s="1158">
        <v>0</v>
      </c>
    </row>
    <row r="8" spans="1:43" ht="14.25" customHeight="1" hidden="1">
      <c r="A8" s="1366"/>
      <c s="1366"/>
      <c s="1366"/>
      <c s="1366"/>
      <c s="2262"/>
      <c s="2262"/>
      <c s="2262"/>
      <c s="2262"/>
      <c s="2289"/>
      <c s="2289"/>
      <c s="2259"/>
      <c s="1367"/>
      <c r="P8" s="2260"/>
      <c s="2260"/>
      <c s="360"/>
      <c s="1459"/>
      <c s="303"/>
      <c s="303"/>
      <c s="328"/>
      <c s="328"/>
      <c s="331" t="str">
        <f>Y7&amp;"-"&amp;AA7</f>
        <v>-</v>
      </c>
      <c s="2269"/>
      <c s="2110"/>
      <c s="2269"/>
      <c s="2110"/>
      <c s="328"/>
      <c s="328"/>
      <c s="331" t="str">
        <f>AF7&amp;"-"&amp;AH7</f>
        <v>-</v>
      </c>
      <c s="2269"/>
      <c s="2110"/>
      <c s="2291"/>
      <c s="2110"/>
      <c s="1442"/>
      <c s="2352"/>
      <c r="AM8" s="503"/>
      <c s="503" t="str">
        <f>IF(T8="","",T8)</f>
        <v/>
      </c>
      <c s="503"/>
      <c s="503"/>
      <c s="1158">
        <v>0</v>
      </c>
    </row>
    <row r="9" spans="1:43" ht="21" customHeight="1" hidden="1">
      <c r="A9" s="1366"/>
      <c s="1366"/>
      <c s="1366"/>
      <c s="1366"/>
      <c s="2262"/>
      <c s="2262"/>
      <c s="2262"/>
      <c s="2262"/>
      <c s="2289"/>
      <c s="2259"/>
      <c s="1366"/>
      <c s="1367"/>
      <c r="P9" s="2260"/>
      <c s="2260"/>
      <c s="359"/>
      <c s="1281"/>
      <c s="290" t="s">
        <v>486</v>
      </c>
      <c s="370"/>
      <c s="370"/>
      <c s="370"/>
      <c s="370"/>
      <c s="370"/>
      <c s="370"/>
      <c s="370"/>
      <c s="370"/>
      <c s="370"/>
      <c s="370"/>
      <c s="370"/>
      <c s="370"/>
      <c s="370"/>
      <c s="370"/>
      <c s="370"/>
      <c s="370"/>
      <c s="1261" t="s">
        <v>487</v>
      </c>
      <c r="AM9" s="503"/>
      <c s="503" t="str">
        <f>IF(T9="","",T9)</f>
        <v>Добавить значение признака дифференциации</v>
      </c>
      <c s="503"/>
      <c s="503"/>
      <c s="1158">
        <v>0</v>
      </c>
    </row>
    <row r="10" spans="1:43" ht="21" customHeight="1" hidden="1">
      <c r="A10" s="1366"/>
      <c s="1366"/>
      <c s="1366"/>
      <c s="1366"/>
      <c s="2262"/>
      <c s="2262"/>
      <c s="2262"/>
      <c s="2262"/>
      <c s="2259"/>
      <c s="1366"/>
      <c s="1366"/>
      <c s="1367"/>
      <c r="P10" s="2260"/>
      <c s="1453"/>
      <c s="359"/>
      <c s="1281"/>
      <c s="368" t="s">
        <v>412</v>
      </c>
      <c s="370"/>
      <c s="370"/>
      <c s="370"/>
      <c s="370"/>
      <c s="370"/>
      <c s="370"/>
      <c s="370"/>
      <c s="369"/>
      <c s="370"/>
      <c s="370"/>
      <c s="370"/>
      <c s="370"/>
      <c s="370"/>
      <c s="370"/>
      <c s="369"/>
      <c s="370"/>
      <c s="1443"/>
      <c r="AM10" s="503"/>
      <c s="503" t="str">
        <f>IF(T10="","",T10)</f>
        <v>Добавить группу потребителей</v>
      </c>
      <c s="503"/>
      <c s="503"/>
      <c s="1158">
        <v>0</v>
      </c>
    </row>
    <row r="11" spans="1:43" ht="21" customHeight="1" hidden="1">
      <c r="A11" s="1366"/>
      <c s="1366"/>
      <c s="1366"/>
      <c s="1366"/>
      <c s="2262"/>
      <c s="2262"/>
      <c s="2262"/>
      <c s="2261"/>
      <c s="1366"/>
      <c s="1366"/>
      <c s="1366"/>
      <c s="1367"/>
      <c s="1368"/>
      <c s="1368"/>
      <c s="540"/>
      <c s="363"/>
      <c s="378"/>
      <c s="358"/>
      <c s="1281"/>
      <c s="375" t="s">
        <v>488</v>
      </c>
      <c s="370"/>
      <c s="370"/>
      <c s="370"/>
      <c s="370"/>
      <c s="370"/>
      <c s="370"/>
      <c s="370"/>
      <c s="369"/>
      <c s="370"/>
      <c s="370"/>
      <c s="370"/>
      <c s="370"/>
      <c s="370"/>
      <c s="370"/>
      <c s="369"/>
      <c s="370"/>
      <c s="306"/>
      <c r="AM11" s="503"/>
      <c s="503" t="str">
        <f>IF(T11="","",T11)</f>
        <v>Добавить наименование признака дифференциации</v>
      </c>
      <c s="503"/>
      <c s="503"/>
      <c s="1158">
        <v>0</v>
      </c>
    </row>
    <row r="12" spans="1:43" s="1645" customFormat="1" ht="14.25" customHeight="1" hidden="1">
      <c r="A12" s="1346"/>
      <c s="1346"/>
      <c s="1317"/>
      <c s="1317"/>
      <c s="2262"/>
      <c s="2261"/>
      <c s="1317"/>
      <c s="1317"/>
      <c s="1317"/>
      <c s="1317"/>
      <c s="1317"/>
      <c s="1461"/>
      <c s="1324"/>
      <c s="1324"/>
      <c r="P12" s="1319"/>
      <c s="1320"/>
      <c s="1319"/>
      <c s="1325"/>
      <c s="1328" t="s">
        <v>415</v>
      </c>
      <c s="1327"/>
      <c s="1327"/>
      <c s="1327"/>
      <c s="1327"/>
      <c s="1327"/>
      <c s="1327"/>
      <c s="1327"/>
      <c s="1327"/>
      <c s="1327"/>
      <c s="1327"/>
      <c s="1327"/>
      <c s="1327"/>
      <c s="1327"/>
      <c s="1327"/>
      <c s="1327"/>
      <c s="1327"/>
      <c s="1327"/>
      <c r="AM12" s="792"/>
      <c s="792" t="str">
        <f>IF(T12="","",T12)</f>
        <v>Добавить централизованную систему для дифференциации</v>
      </c>
      <c s="792"/>
      <c s="792"/>
      <c s="521">
        <v>0</v>
      </c>
    </row>
    <row r="13" spans="1:43" s="1645" customFormat="1" ht="14.25" customHeight="1" hidden="1">
      <c r="A13" s="1346"/>
      <c s="1346"/>
      <c s="1346"/>
      <c s="1346"/>
      <c s="2261"/>
      <c s="1346"/>
      <c s="1346"/>
      <c s="1346"/>
      <c s="1346"/>
      <c s="1346"/>
      <c s="1346"/>
      <c s="1349"/>
      <c s="1324"/>
      <c s="1324"/>
      <c s="521"/>
      <c s="383"/>
      <c s="1347"/>
      <c s="383"/>
      <c s="1325"/>
      <c s="1328" t="s">
        <v>416</v>
      </c>
      <c s="1327"/>
      <c s="1327"/>
      <c s="1327"/>
      <c s="1327"/>
      <c s="1327"/>
      <c s="1327"/>
      <c s="1327"/>
      <c s="1327"/>
      <c s="1327"/>
      <c s="1327"/>
      <c s="1327"/>
      <c s="1327"/>
      <c s="1327"/>
      <c s="1327"/>
      <c s="1327"/>
      <c s="1327"/>
      <c s="1327"/>
      <c r="AM13" s="503"/>
      <c s="503" t="str">
        <f>IF(T13="","",T13)</f>
        <v>Добавить территорию для дифференциации</v>
      </c>
      <c s="503"/>
      <c s="503"/>
      <c s="514">
        <v>0</v>
      </c>
    </row>
    <row r="14" spans="28:43" ht="14.25" customHeight="1" hidden="1">
      <c r="AB14" s="330"/>
      <c r="AI14" s="330"/>
      <c r="AQ14" s="1158">
        <v>0</v>
      </c>
    </row>
    <row r="15" spans="29:43" ht="14.25" customHeight="1" hidden="1">
      <c r="AC15" s="1363"/>
      <c s="1363"/>
      <c s="1364"/>
      <c s="2270"/>
      <c s="2271" t="s">
        <v>65</v>
      </c>
      <c s="2270"/>
      <c s="2271" t="s">
        <v>65</v>
      </c>
      <c r="AQ15" s="1158">
        <v>0</v>
      </c>
    </row>
    <row r="16" spans="29:43" ht="14.25" customHeight="1" hidden="1">
      <c r="AC16" s="1363"/>
      <c s="1363"/>
      <c s="331" t="str">
        <f>AF15&amp;"-"&amp;AH15</f>
        <v>-</v>
      </c>
      <c s="2271"/>
      <c s="2271"/>
      <c s="2271"/>
      <c s="2271"/>
      <c r="AQ16" s="1158">
        <v>0</v>
      </c>
    </row>
    <row r="17" spans="35:43" ht="14.25" customHeight="1" hidden="1">
      <c r="AI17" s="330"/>
      <c r="AQ17" s="1158">
        <v>0</v>
      </c>
    </row>
    <row r="18" spans="12:43" s="1369" customFormat="1" ht="22.5" customHeight="1" hidden="1">
      <c r="L18" s="1450"/>
      <c s="1365"/>
      <c s="1365"/>
      <c s="1370" t="s">
        <v>417</v>
      </c>
      <c s="1365"/>
      <c s="1374"/>
      <c s="1374"/>
      <c s="732"/>
      <c r="Y18" s="1370"/>
      <c r="AA18" s="1370"/>
      <c s="1369"/>
      <c r="AF18" s="1370"/>
      <c r="AH18" s="1370"/>
      <c s="1369"/>
      <c r="AL18" s="514"/>
      <c s="514"/>
      <c s="514"/>
      <c s="514"/>
      <c s="514"/>
      <c s="1163">
        <v>0</v>
      </c>
    </row>
    <row r="19" spans="12:43" s="1369" customFormat="1" ht="14.25" customHeight="1" hidden="1">
      <c r="L19" s="1450"/>
      <c s="1365"/>
      <c s="1365"/>
      <c s="1365"/>
      <c s="1365"/>
      <c s="1374"/>
      <c s="1374"/>
      <c s="732"/>
      <c r="AB19" s="1369"/>
      <c r="AI19" s="1369"/>
      <c r="AL19" s="514"/>
      <c s="514"/>
      <c s="514"/>
      <c s="514"/>
      <c s="514"/>
      <c s="1163">
        <v>0</v>
      </c>
    </row>
    <row r="20" spans="12:43" s="1369" customFormat="1" ht="12" customHeight="1" hidden="1">
      <c r="L20" s="1450"/>
      <c s="1365"/>
      <c s="1365"/>
      <c s="1367" t="s">
        <v>418</v>
      </c>
      <c s="1365"/>
      <c s="1445"/>
      <c s="1445"/>
      <c s="732"/>
      <c s="1163" t="s">
        <v>419</v>
      </c>
      <c r="Z20" s="189" t="s">
        <v>420</v>
      </c>
      <c r="AB20" s="189" t="s">
        <v>421</v>
      </c>
      <c s="1163" t="s">
        <v>419</v>
      </c>
      <c r="AG20" s="189" t="s">
        <v>422</v>
      </c>
      <c r="AI20" s="189" t="s">
        <v>421</v>
      </c>
      <c r="AQ20" s="1163">
        <v>0</v>
      </c>
    </row>
    <row r="21" spans="15:43" ht="14.25" customHeight="1" hidden="1">
      <c r="O21" s="1367"/>
      <c r="AQ21" s="1158">
        <v>0</v>
      </c>
    </row>
    <row r="22" spans="15:43" ht="14.25" customHeight="1" hidden="1">
      <c r="O22" s="1367"/>
      <c r="AQ22" s="1158">
        <v>0</v>
      </c>
    </row>
    <row r="23" spans="17:43" ht="14.7" customHeight="1">
      <c r="Q23" s="379"/>
      <c s="379"/>
      <c s="1278"/>
      <c s="366"/>
      <c s="366"/>
      <c s="512"/>
      <c s="512"/>
      <c s="512"/>
      <c s="512"/>
      <c s="512"/>
      <c s="512"/>
      <c s="512"/>
      <c s="512"/>
      <c s="512"/>
      <c s="512"/>
      <c s="512"/>
      <c s="512"/>
      <c s="512"/>
      <c s="512"/>
      <c r="AQ23" s="1158">
        <v>14</v>
      </c>
    </row>
    <row r="24" spans="17:43" ht="14.7" customHeight="1">
      <c r="Q24" s="379"/>
      <c s="379"/>
      <c s="2251"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s="2251"/>
      <c s="2251"/>
      <c s="2251"/>
      <c s="2251"/>
      <c s="2251"/>
      <c s="2251"/>
      <c s="2251"/>
      <c s="2251"/>
      <c s="2251"/>
      <c s="2251"/>
      <c s="2251"/>
      <c s="2251"/>
      <c s="2251"/>
      <c s="2251"/>
      <c s="2251"/>
      <c s="1246"/>
      <c r="AQ24" s="1158">
        <v>14</v>
      </c>
    </row>
    <row r="25" spans="17:43" ht="14.7" customHeight="1">
      <c r="Q25" s="379"/>
      <c s="379"/>
      <c s="2252" t="str">
        <f>IF(org=0,"Не определено",org)</f>
        <v>ГУП КК "Кубаньводкомплекс"</v>
      </c>
      <c s="2252"/>
      <c s="2252"/>
      <c s="2252"/>
      <c s="2252"/>
      <c s="2252"/>
      <c s="2252"/>
      <c s="2252"/>
      <c s="2252"/>
      <c s="2252"/>
      <c s="2252"/>
      <c s="2252"/>
      <c s="2252"/>
      <c s="2252"/>
      <c s="2252"/>
      <c s="2252"/>
      <c s="1246"/>
      <c r="AQ25" s="1158">
        <v>14</v>
      </c>
    </row>
    <row r="26" spans="17:43" ht="14.25" customHeight="1" hidden="1">
      <c r="Q26" s="379"/>
      <c s="379"/>
      <c s="1278"/>
      <c s="366"/>
      <c s="366"/>
      <c s="325"/>
      <c s="325"/>
      <c s="325"/>
      <c s="325"/>
      <c s="325"/>
      <c s="325"/>
      <c s="325"/>
      <c s="325"/>
      <c s="325"/>
      <c s="325"/>
      <c s="325"/>
      <c s="325"/>
      <c s="325"/>
      <c s="325"/>
      <c s="512"/>
      <c r="AQ26" s="1158">
        <v>0</v>
      </c>
    </row>
    <row r="27" spans="1:43" s="1856" customFormat="1" ht="25.5" customHeight="1" hidden="1">
      <c r="A27" s="1371"/>
      <c s="1371"/>
      <c s="1371"/>
      <c s="1371"/>
      <c s="1371"/>
      <c s="1371"/>
      <c s="1371"/>
      <c s="1371"/>
      <c s="1371"/>
      <c s="1371"/>
      <c s="1371"/>
      <c s="1372"/>
      <c s="1371"/>
      <c s="1371"/>
      <c s="1371"/>
      <c r="S27" s="2253" t="s">
        <v>42</v>
      </c>
      <c s="2253"/>
      <c s="1375"/>
      <c s="2254" t="str">
        <f>IF(TITLE_NAME_OR_PR_CHANGE="",IF(TITLE_NAME_OR_PR="","",TITLE_NAME_OR_PR),TITLE_NAME_OR_PR_CHANGE)</f>
        <v/>
      </c>
      <c s="2254"/>
      <c s="2254"/>
      <c s="2254"/>
      <c s="2254"/>
      <c s="2254"/>
      <c s="329"/>
      <c s="2254" t="str">
        <f>IF(TITLE_NAME_OR_PR_CHANGE="",IF(TITLE_NAME_OR_PR="","",TITLE_NAME_OR_PR),TITLE_NAME_OR_PR_CHANGE)</f>
        <v/>
      </c>
      <c s="2254"/>
      <c s="2254"/>
      <c s="2254"/>
      <c s="2254"/>
      <c s="2254"/>
      <c s="329"/>
      <c s="329"/>
      <c s="283"/>
      <c s="371"/>
      <c s="371"/>
      <c s="371"/>
      <c s="371"/>
      <c s="371"/>
      <c s="421">
        <v>0</v>
      </c>
    </row>
    <row r="28" spans="1:43" s="1856" customFormat="1" ht="18.75" customHeight="1" hidden="1">
      <c r="A28" s="1371"/>
      <c s="1371"/>
      <c s="1371"/>
      <c s="1371"/>
      <c s="1371"/>
      <c s="1371"/>
      <c s="1371"/>
      <c s="1371"/>
      <c s="1371"/>
      <c s="1371"/>
      <c s="1371"/>
      <c s="1372"/>
      <c s="1371"/>
      <c s="1371"/>
      <c s="1371"/>
      <c r="S28" s="2253" t="s">
        <v>423</v>
      </c>
      <c s="2253"/>
      <c s="1375"/>
      <c s="2267" t="str">
        <f>IF(TITLE_DATE_PR_CHANGE="",IF(TITLE_DATE_PR="","",TITLE_DATE_PR),TITLE_DATE_PR_CHANGE)</f>
        <v/>
      </c>
      <c s="2267"/>
      <c s="2267"/>
      <c s="2267"/>
      <c s="2267"/>
      <c s="2267"/>
      <c s="329"/>
      <c s="2267" t="str">
        <f>IF(TITLE_DATE_PR_CHANGE="",IF(TITLE_DATE_PR="","",TITLE_DATE_PR),TITLE_DATE_PR_CHANGE)</f>
        <v/>
      </c>
      <c s="2267"/>
      <c s="2267"/>
      <c s="2267"/>
      <c s="2267"/>
      <c s="2267"/>
      <c s="329"/>
      <c s="329"/>
      <c s="283"/>
      <c s="371"/>
      <c s="371"/>
      <c s="371"/>
      <c s="371"/>
      <c s="371"/>
      <c s="421">
        <v>0</v>
      </c>
    </row>
    <row r="29" spans="1:43" s="1856" customFormat="1" ht="18.75" customHeight="1" hidden="1">
      <c r="A29" s="1371"/>
      <c s="1371"/>
      <c s="1371"/>
      <c s="1371"/>
      <c s="1371"/>
      <c s="1371"/>
      <c s="1371"/>
      <c s="1371"/>
      <c s="1371"/>
      <c s="1371"/>
      <c s="1371"/>
      <c s="1372"/>
      <c s="1371"/>
      <c s="1371"/>
      <c s="1371"/>
      <c r="S29" s="2253" t="s">
        <v>424</v>
      </c>
      <c s="2253"/>
      <c s="1375"/>
      <c s="2254" t="str">
        <f>IF(TITLE_NUMBER_PR_CHANGE="",IF(TITLE_NUMBER_PR="","",TITLE_NUMBER_PR),TITLE_NUMBER_PR_CHANGE)</f>
        <v/>
      </c>
      <c s="2254"/>
      <c s="2254"/>
      <c s="2254"/>
      <c s="2254"/>
      <c s="2254"/>
      <c s="329"/>
      <c s="2254" t="str">
        <f>IF(TITLE_NUMBER_PR_CHANGE="",IF(TITLE_NUMBER_PR="","",TITLE_NUMBER_PR),TITLE_NUMBER_PR_CHANGE)</f>
        <v/>
      </c>
      <c s="2254"/>
      <c s="2254"/>
      <c s="2254"/>
      <c s="2254"/>
      <c s="2254"/>
      <c s="329"/>
      <c s="329"/>
      <c s="283"/>
      <c s="371"/>
      <c s="371"/>
      <c s="371"/>
      <c s="371"/>
      <c s="371"/>
      <c s="421">
        <v>0</v>
      </c>
    </row>
    <row r="30" spans="1:43" s="1856" customFormat="1" ht="18.75" customHeight="1" hidden="1">
      <c r="A30" s="1371"/>
      <c s="1371"/>
      <c s="1371"/>
      <c s="1371"/>
      <c s="1371"/>
      <c s="1371"/>
      <c s="1371"/>
      <c s="1371"/>
      <c s="1371"/>
      <c s="1371"/>
      <c s="1371"/>
      <c s="1372"/>
      <c s="1371"/>
      <c s="1371"/>
      <c s="1371"/>
      <c r="S30" s="2253" t="s">
        <v>43</v>
      </c>
      <c s="2253"/>
      <c s="1375"/>
      <c s="2254" t="str">
        <f>IF(TITLE_IST_PUB_CHANGE="",IF(TITLE_IST_PUB="","",TITLE_IST_PUB),TITLE_IST_PUB_CHANGE)</f>
        <v/>
      </c>
      <c s="2254"/>
      <c s="2254"/>
      <c s="2254"/>
      <c s="2254"/>
      <c s="2254"/>
      <c s="329"/>
      <c s="2254" t="str">
        <f>IF(TITLE_IST_PUB_CHANGE="",IF(TITLE_IST_PUB="","",TITLE_IST_PUB),TITLE_IST_PUB_CHANGE)</f>
        <v/>
      </c>
      <c s="2254"/>
      <c s="2254"/>
      <c s="2254"/>
      <c s="2254"/>
      <c s="2254"/>
      <c s="329"/>
      <c s="329"/>
      <c s="283"/>
      <c s="371"/>
      <c s="371"/>
      <c s="371"/>
      <c s="371"/>
      <c s="371"/>
      <c s="421">
        <v>0</v>
      </c>
    </row>
    <row r="31" spans="17:43" ht="14.25" customHeight="1" hidden="1">
      <c r="Q31" s="379"/>
      <c s="379"/>
      <c s="1278"/>
      <c s="366"/>
      <c s="366"/>
      <c s="325"/>
      <c s="325"/>
      <c s="325"/>
      <c s="325"/>
      <c s="325"/>
      <c s="325"/>
      <c s="325"/>
      <c s="325"/>
      <c s="325"/>
      <c s="325"/>
      <c s="325"/>
      <c s="325"/>
      <c s="325"/>
      <c s="325"/>
      <c s="512"/>
      <c r="AQ31" s="1158">
        <v>0</v>
      </c>
    </row>
    <row r="32" spans="1:43" s="1856" customFormat="1" ht="18.75" customHeight="1" hidden="1">
      <c r="A32" s="1371"/>
      <c s="1371"/>
      <c s="1371"/>
      <c s="1371"/>
      <c s="1371"/>
      <c s="1371"/>
      <c s="1371"/>
      <c s="1371"/>
      <c s="1371"/>
      <c s="1371"/>
      <c s="1371"/>
      <c s="1372"/>
      <c s="1371"/>
      <c s="1371"/>
      <c s="1371"/>
      <c r="S32" s="2253" t="s">
        <v>425</v>
      </c>
      <c s="2253"/>
      <c s="1375"/>
      <c s="2267" t="str">
        <f>IF(TITLE_DATE_PR_CHANGE="",IF(TITLE_DATE_PR="","",TITLE_DATE_PR),TITLE_DATE_PR_CHANGE)</f>
        <v/>
      </c>
      <c s="2267"/>
      <c s="2267"/>
      <c s="2267"/>
      <c s="2267"/>
      <c s="2267"/>
      <c s="329"/>
      <c s="2267" t="str">
        <f>IF(TITLE_DATE_PR_CHANGE="",IF(TITLE_DATE_PR="","",TITLE_DATE_PR),TITLE_DATE_PR_CHANGE)</f>
        <v/>
      </c>
      <c s="2267"/>
      <c s="2267"/>
      <c s="2267"/>
      <c s="2267"/>
      <c s="2267"/>
      <c s="329"/>
      <c s="329"/>
      <c s="283"/>
      <c s="371"/>
      <c s="371"/>
      <c s="371"/>
      <c s="371"/>
      <c s="371"/>
      <c s="421">
        <v>0</v>
      </c>
    </row>
    <row r="33" spans="1:43" s="1856" customFormat="1" ht="18.75" customHeight="1" hidden="1">
      <c r="A33" s="1371"/>
      <c s="1371"/>
      <c s="1371"/>
      <c s="1371"/>
      <c s="1371"/>
      <c s="1371"/>
      <c s="1371"/>
      <c s="1371"/>
      <c s="1371"/>
      <c s="1371"/>
      <c s="1371"/>
      <c s="1372"/>
      <c s="1371"/>
      <c s="1371"/>
      <c s="1371"/>
      <c r="S33" s="2253" t="s">
        <v>426</v>
      </c>
      <c s="2253"/>
      <c s="1375"/>
      <c s="2254" t="str">
        <f>IF(TITLE_NUMBER_PR_CHANGE="",IF(TITLE_NUMBER_PR="","",TITLE_NUMBER_PR),TITLE_NUMBER_PR_CHANGE)</f>
        <v/>
      </c>
      <c s="2254"/>
      <c s="2254"/>
      <c s="2254"/>
      <c s="2254"/>
      <c s="2254"/>
      <c s="329"/>
      <c s="2254" t="str">
        <f>IF(TITLE_NUMBER_PR_CHANGE="",IF(TITLE_NUMBER_PR="","",TITLE_NUMBER_PR),TITLE_NUMBER_PR_CHANGE)</f>
        <v/>
      </c>
      <c s="2254"/>
      <c s="2254"/>
      <c s="2254"/>
      <c s="2254"/>
      <c s="2254"/>
      <c s="329"/>
      <c s="329"/>
      <c s="283"/>
      <c s="371"/>
      <c s="371"/>
      <c s="371"/>
      <c s="371"/>
      <c s="371"/>
      <c s="421">
        <v>0</v>
      </c>
    </row>
    <row r="34" spans="1:43" s="1856" customFormat="1" ht="1.05" customHeight="1">
      <c r="A34" s="1371"/>
      <c s="1371"/>
      <c s="1371"/>
      <c s="1371"/>
      <c s="1371"/>
      <c s="1371"/>
      <c s="1371"/>
      <c s="1371"/>
      <c s="1371"/>
      <c s="1371"/>
      <c s="1371"/>
      <c s="1372"/>
      <c s="1371"/>
      <c s="1371"/>
      <c s="1371"/>
      <c r="S34" s="326"/>
      <c s="326"/>
      <c s="1457"/>
      <c s="329"/>
      <c s="329"/>
      <c s="329"/>
      <c s="329"/>
      <c s="329"/>
      <c s="329"/>
      <c s="281" t="s">
        <v>427</v>
      </c>
      <c s="329"/>
      <c s="329"/>
      <c s="329"/>
      <c s="329"/>
      <c s="329"/>
      <c s="329"/>
      <c s="281" t="s">
        <v>427</v>
      </c>
      <c r="AL34" s="371"/>
      <c s="371"/>
      <c s="371"/>
      <c s="371"/>
      <c s="371"/>
      <c s="421">
        <v>1</v>
      </c>
    </row>
    <row r="35" spans="17:43" ht="14.7" customHeight="1">
      <c r="Q35" s="379"/>
      <c s="379"/>
      <c s="1278"/>
      <c s="366"/>
      <c s="1247"/>
      <c s="2255"/>
      <c s="2255"/>
      <c s="2255"/>
      <c s="2255"/>
      <c s="2255"/>
      <c s="2255"/>
      <c s="2255"/>
      <c s="2255"/>
      <c s="2255"/>
      <c s="2255"/>
      <c s="2255"/>
      <c s="2255"/>
      <c s="2255"/>
      <c s="2255"/>
      <c r="AQ35" s="1158">
        <v>14</v>
      </c>
    </row>
    <row r="36" spans="17:43" ht="14.7" customHeight="1">
      <c r="Q36" s="379"/>
      <c s="379"/>
      <c s="2130" t="s">
        <v>300</v>
      </c>
      <c s="2130"/>
      <c s="2130"/>
      <c s="2130"/>
      <c s="2130"/>
      <c s="2130"/>
      <c s="2130"/>
      <c s="2130"/>
      <c s="2130"/>
      <c s="2130"/>
      <c s="2130"/>
      <c s="2130"/>
      <c s="2130"/>
      <c s="2130"/>
      <c s="2130"/>
      <c s="2130"/>
      <c s="2130"/>
      <c s="2130"/>
      <c s="2130" t="s">
        <v>301</v>
      </c>
      <c r="AQ36" s="1158">
        <v>14</v>
      </c>
    </row>
    <row r="37" spans="17:43" ht="14.7" customHeight="1">
      <c r="Q37" s="379"/>
      <c s="379"/>
      <c s="2276" t="s">
        <v>87</v>
      </c>
      <c s="2212" t="s">
        <v>428</v>
      </c>
      <c s="304"/>
      <c s="2277" t="s">
        <v>429</v>
      </c>
      <c s="2278"/>
      <c s="2278"/>
      <c s="2278"/>
      <c s="2278"/>
      <c s="2279"/>
      <c s="2280" t="s">
        <v>430</v>
      </c>
      <c s="2277" t="s">
        <v>429</v>
      </c>
      <c s="2278"/>
      <c s="2278"/>
      <c s="2278"/>
      <c s="2278"/>
      <c s="2279"/>
      <c s="2280" t="s">
        <v>431</v>
      </c>
      <c s="2283" t="s">
        <v>432</v>
      </c>
      <c s="2130"/>
      <c r="AQ37" s="1158">
        <v>14</v>
      </c>
    </row>
    <row r="38" spans="17:43" ht="35.7" customHeight="1">
      <c r="Q38" s="379"/>
      <c s="379"/>
      <c s="2276"/>
      <c s="2212"/>
      <c s="1034"/>
      <c s="1455" t="s">
        <v>489</v>
      </c>
      <c s="2265" t="s">
        <v>435</v>
      </c>
      <c s="2266"/>
      <c s="2265" t="s">
        <v>436</v>
      </c>
      <c s="2272"/>
      <c s="2266"/>
      <c s="2281"/>
      <c s="1455" t="s">
        <v>489</v>
      </c>
      <c s="2265" t="s">
        <v>435</v>
      </c>
      <c s="2266"/>
      <c s="2265" t="s">
        <v>436</v>
      </c>
      <c s="2272"/>
      <c s="2266"/>
      <c s="2281"/>
      <c s="2284"/>
      <c s="2130"/>
      <c r="AQ38" s="1158">
        <v>34</v>
      </c>
    </row>
    <row r="39" spans="1:43" ht="35.7" customHeight="1">
      <c r="A39" s="1373"/>
      <c s="1373" t="s">
        <v>137</v>
      </c>
      <c s="1373" t="s">
        <v>138</v>
      </c>
      <c s="1373" t="s">
        <v>139</v>
      </c>
      <c s="1367" t="s">
        <v>437</v>
      </c>
      <c s="1367" t="s">
        <v>438</v>
      </c>
      <c s="1367" t="s">
        <v>439</v>
      </c>
      <c s="1367"/>
      <c s="1367" t="s">
        <v>490</v>
      </c>
      <c s="1367" t="s">
        <v>442</v>
      </c>
      <c s="1367" t="s">
        <v>491</v>
      </c>
      <c s="1367" t="s">
        <v>418</v>
      </c>
      <c r="Q39" s="379"/>
      <c s="379"/>
      <c s="2276"/>
      <c s="2212"/>
      <c s="305"/>
      <c s="1455" t="s">
        <v>492</v>
      </c>
      <c s="1225" t="s">
        <v>493</v>
      </c>
      <c s="1225" t="s">
        <v>494</v>
      </c>
      <c s="1458" t="s">
        <v>446</v>
      </c>
      <c s="2273" t="s">
        <v>447</v>
      </c>
      <c s="2274"/>
      <c s="2282"/>
      <c s="1455" t="s">
        <v>492</v>
      </c>
      <c s="1225" t="s">
        <v>493</v>
      </c>
      <c s="1225" t="s">
        <v>494</v>
      </c>
      <c s="1458" t="s">
        <v>446</v>
      </c>
      <c s="2273" t="s">
        <v>447</v>
      </c>
      <c s="2274"/>
      <c s="2282"/>
      <c s="2285"/>
      <c s="2130"/>
      <c r="AQ39" s="1158">
        <v>34</v>
      </c>
    </row>
    <row r="40" spans="1:43" s="1644" customFormat="1" ht="0" customHeight="1">
      <c r="A40" s="1373"/>
      <c s="1373"/>
      <c s="1373"/>
      <c s="1373"/>
      <c s="1373"/>
      <c s="1373"/>
      <c s="1373"/>
      <c s="1373"/>
      <c s="1373"/>
      <c s="1373"/>
      <c s="1373"/>
      <c s="1367"/>
      <c s="1365"/>
      <c s="1365"/>
      <c s="1365"/>
      <c s="1249"/>
      <c s="1250"/>
      <c s="1257">
        <v>1</v>
      </c>
      <c s="1280" t="s">
        <v>109</v>
      </c>
      <c s="1258" t="s">
        <v>110</v>
      </c>
      <c s="1248" t="str">
        <f ca="1">OFFSET(U40,0,-1)</f>
        <v>2</v>
      </c>
      <c s="1454">
        <f ca="1">OFFSET(V40,0,-1)+1</f>
        <v>3</v>
      </c>
      <c s="1454">
        <f ca="1">OFFSET(W40,0,-1)+1</f>
        <v>4</v>
      </c>
      <c s="1454">
        <f ca="1">OFFSET(X40,0,-1)+1</f>
        <v>5</v>
      </c>
      <c s="1454">
        <f ca="1">OFFSET(Y40,0,-1)+1</f>
        <v>6</v>
      </c>
      <c s="2275">
        <f ca="1">OFFSET(Z40,0,-1)+1</f>
        <v>7</v>
      </c>
      <c s="2275"/>
      <c s="1454">
        <f ca="1">OFFSET(AB40,0,-2)+1</f>
        <v>8</v>
      </c>
      <c s="1454">
        <f ca="1">OFFSET(AC40,0,-1)+1</f>
        <v>9</v>
      </c>
      <c s="1454">
        <f ca="1">OFFSET(AD40,0,-1)+1</f>
        <v>10</v>
      </c>
      <c s="1454">
        <f ca="1">OFFSET(AE40,0,-1)+1</f>
        <v>11</v>
      </c>
      <c s="1454">
        <f ca="1">OFFSET(AF40,0,-1)+1</f>
        <v>12</v>
      </c>
      <c s="2275">
        <f ca="1">OFFSET(AG40,0,-1)+1</f>
        <v>13</v>
      </c>
      <c s="2275"/>
      <c s="1454">
        <f ca="1">OFFSET(AI40,0,-2)+1</f>
        <v>14</v>
      </c>
      <c s="1248">
        <f ca="1">OFFSET(AJ40,0,-1)</f>
        <v>14</v>
      </c>
      <c s="1454">
        <f ca="1">OFFSET(AK40,0,-1)+1</f>
        <v>15</v>
      </c>
      <c s="514"/>
      <c s="514"/>
      <c s="514"/>
      <c s="514"/>
      <c s="514"/>
      <c s="499">
        <v>0</v>
      </c>
    </row>
    <row r="41" spans="1:43" ht="24" customHeight="1">
      <c r="A41" s="1366" t="s">
        <v>241</v>
      </c>
      <c s="1366"/>
      <c s="1366"/>
      <c s="1366"/>
      <c s="2261">
        <v>1</v>
      </c>
      <c s="1366"/>
      <c s="1366"/>
      <c s="1366"/>
      <c s="1366"/>
      <c s="1366"/>
      <c s="1366"/>
      <c s="1367"/>
      <c s="1368"/>
      <c s="1368"/>
      <c s="1368"/>
      <c s="364"/>
      <c s="363"/>
      <c s="358"/>
      <c s="1460">
        <f>INDEX(PT_DIFFERENTIATION_NUM_NTAR,MATCH(A41,PT_DIFFERENTIATION_NTAR_ID,0))</f>
        <v>0</v>
      </c>
      <c s="301" t="s">
        <v>125</v>
      </c>
      <c s="303"/>
      <c s="2245"/>
      <c s="2246"/>
      <c s="2246"/>
      <c s="2246"/>
      <c s="2246"/>
      <c s="2246"/>
      <c s="2247"/>
      <c s="2245" t="str">
        <f>INDEX(PT_DIFFERENTIATION_NTAR,MATCH(A41,PT_DIFFERENTIATION_NTAR_ID,0))</f>
        <v/>
      </c>
      <c s="2246"/>
      <c s="2246"/>
      <c s="2246"/>
      <c s="2246"/>
      <c s="2246"/>
      <c s="2246"/>
      <c s="2247"/>
      <c s="126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3"/>
      <c s="503" t="str">
        <f>IF(T41="","",T41)</f>
        <v>Наименование тарифа</v>
      </c>
      <c s="503"/>
      <c s="503"/>
      <c s="1158">
        <v>23</v>
      </c>
    </row>
    <row r="42" spans="1:43" ht="24" customHeight="1">
      <c r="A42" s="1366" t="s">
        <v>241</v>
      </c>
      <c s="1366" t="s">
        <v>242</v>
      </c>
      <c s="1366"/>
      <c s="1366"/>
      <c s="2262"/>
      <c s="2261">
        <v>1</v>
      </c>
      <c s="1366"/>
      <c s="1366"/>
      <c s="1366"/>
      <c s="1366"/>
      <c s="1366"/>
      <c s="1367"/>
      <c s="1368"/>
      <c s="1368"/>
      <c s="1368"/>
      <c s="1456"/>
      <c s="355"/>
      <c s="356"/>
      <c s="1460" t="str">
        <f>INDEX(PT_DIFFERENTIATION_NUM_TER,MATCH(B42,PT_DIFFERENTIATION_TER_ID,0))</f>
        <v>.</v>
      </c>
      <c s="311" t="s">
        <v>397</v>
      </c>
      <c s="303"/>
      <c s="2245"/>
      <c s="2246"/>
      <c s="2246"/>
      <c s="2246"/>
      <c s="2246"/>
      <c s="2246"/>
      <c s="2247"/>
      <c s="2245" t="str">
        <f>INDEX(PT_DIFFERENTIATION_TER,MATCH(B42,PT_DIFFERENTIATION_TER_ID,0))</f>
        <v/>
      </c>
      <c s="2246"/>
      <c s="2246"/>
      <c s="2246"/>
      <c s="2246"/>
      <c s="2246"/>
      <c s="2246"/>
      <c s="2247"/>
      <c s="1261" t="s">
        <v>398</v>
      </c>
      <c r="AM42" s="503"/>
      <c s="503" t="str">
        <f>IF(T42="","",T42)</f>
        <v>Территория действия тарифа</v>
      </c>
      <c s="503"/>
      <c s="503"/>
      <c s="1158">
        <v>23</v>
      </c>
    </row>
    <row r="43" spans="1:43" ht="24" customHeight="1">
      <c r="A43" s="1366" t="s">
        <v>241</v>
      </c>
      <c s="1366" t="s">
        <v>242</v>
      </c>
      <c s="1366" t="s">
        <v>243</v>
      </c>
      <c s="1366"/>
      <c s="2262"/>
      <c s="2262"/>
      <c s="2261">
        <v>1</v>
      </c>
      <c s="1366"/>
      <c s="1366"/>
      <c s="1366"/>
      <c s="1366"/>
      <c s="1367"/>
      <c s="1368"/>
      <c s="1368"/>
      <c s="1368"/>
      <c s="357"/>
      <c s="355"/>
      <c s="356"/>
      <c s="1460" t="str">
        <f>INDEX(PT_DIFFERENTIATION_NUM_CS,MATCH(C43,PT_DIFFERENTIATION_CS_ID,0))</f>
        <v>..</v>
      </c>
      <c s="312" t="s">
        <v>481</v>
      </c>
      <c s="303"/>
      <c s="2245"/>
      <c s="2246"/>
      <c s="2246"/>
      <c s="2246"/>
      <c s="2246"/>
      <c s="2246"/>
      <c s="2247"/>
      <c s="2245" t="str">
        <f>INDEX(PT_DIFFERENTIATION_CS,MATCH(C43,PT_DIFFERENTIATION_CS_ID,0))</f>
        <v/>
      </c>
      <c s="2246"/>
      <c s="2246"/>
      <c s="2246"/>
      <c s="2246"/>
      <c s="2246"/>
      <c s="2246"/>
      <c s="2247"/>
      <c s="1261" t="s">
        <v>482</v>
      </c>
      <c r="AM43" s="503"/>
      <c s="503" t="str">
        <f>IF(T43="","",T43)</f>
        <v>Наименование централизованной системы холодного водоснабжения</v>
      </c>
      <c s="503"/>
      <c s="503"/>
      <c s="1158">
        <v>23</v>
      </c>
    </row>
    <row r="44" spans="1:43" ht="24" customHeight="1">
      <c r="A44" s="1366" t="s">
        <v>241</v>
      </c>
      <c s="1366" t="s">
        <v>242</v>
      </c>
      <c s="1366" t="s">
        <v>243</v>
      </c>
      <c s="1366" t="s">
        <v>498</v>
      </c>
      <c s="2262"/>
      <c s="2262"/>
      <c s="2262"/>
      <c s="2262"/>
      <c s="2259" t="str">
        <f>S43&amp;".1"</f>
        <v>...1</v>
      </c>
      <c s="1366"/>
      <c s="1366"/>
      <c s="1367"/>
      <c r="P44" s="2260">
        <v>1</v>
      </c>
      <c s="1453"/>
      <c s="359"/>
      <c s="1460" t="str">
        <f>$I44</f>
        <v>...1</v>
      </c>
      <c s="288" t="s">
        <v>483</v>
      </c>
      <c s="303"/>
      <c s="2353"/>
      <c s="2354"/>
      <c s="2354"/>
      <c s="2354"/>
      <c s="2354"/>
      <c s="2354"/>
      <c s="2355"/>
      <c s="2356"/>
      <c s="2357"/>
      <c s="2357"/>
      <c s="2357"/>
      <c s="2357"/>
      <c s="2357"/>
      <c s="2357"/>
      <c s="2358"/>
      <c s="1261" t="s">
        <v>484</v>
      </c>
      <c r="AM44" s="503"/>
      <c s="503" t="str">
        <f>IF(T44="","",T44)</f>
        <v>Наименование признака дифференциации</v>
      </c>
      <c s="503"/>
      <c s="503"/>
      <c s="1158">
        <v>23</v>
      </c>
    </row>
    <row r="45" spans="1:43" ht="24" customHeight="1">
      <c r="A45" s="1366" t="s">
        <v>241</v>
      </c>
      <c s="1366" t="s">
        <v>242</v>
      </c>
      <c s="1366" t="s">
        <v>243</v>
      </c>
      <c s="1366" t="s">
        <v>498</v>
      </c>
      <c s="2262"/>
      <c s="2262"/>
      <c s="2262"/>
      <c s="2262"/>
      <c s="2289"/>
      <c s="2259" t="str">
        <f>I44&amp;".1"</f>
        <v>...1.1</v>
      </c>
      <c s="1366"/>
      <c s="1367" t="s">
        <v>406</v>
      </c>
      <c r="P45" s="2260"/>
      <c s="2260">
        <v>1</v>
      </c>
      <c s="360"/>
      <c s="1460" t="str">
        <f>$J45</f>
        <v>...1.1</v>
      </c>
      <c s="289" t="s">
        <v>407</v>
      </c>
      <c s="303"/>
      <c s="2248"/>
      <c s="2249"/>
      <c s="2249"/>
      <c s="2249"/>
      <c s="2249"/>
      <c s="2249"/>
      <c s="2250"/>
      <c s="2248"/>
      <c s="2249"/>
      <c s="2249"/>
      <c s="2249"/>
      <c s="2249"/>
      <c s="2249"/>
      <c s="2249"/>
      <c s="2250"/>
      <c s="1310" t="s">
        <v>485</v>
      </c>
      <c r="AM45" s="503"/>
      <c s="503" t="str">
        <f>IF(T45="","",T45)</f>
        <v>Группа потребителей</v>
      </c>
      <c s="503"/>
      <c s="503"/>
      <c s="1158">
        <v>23</v>
      </c>
    </row>
    <row r="46" spans="1:43" ht="24" customHeight="1">
      <c r="A46" s="1366" t="s">
        <v>241</v>
      </c>
      <c s="1366" t="s">
        <v>242</v>
      </c>
      <c s="1366" t="s">
        <v>243</v>
      </c>
      <c s="1366" t="s">
        <v>498</v>
      </c>
      <c s="2262"/>
      <c s="2262"/>
      <c s="2262"/>
      <c s="2262"/>
      <c s="2289"/>
      <c s="2289"/>
      <c s="2259" t="str">
        <f>J45&amp;".1"</f>
        <v>...1.1.1</v>
      </c>
      <c s="1367"/>
      <c r="P46" s="2260"/>
      <c s="2260"/>
      <c s="360">
        <v>1</v>
      </c>
      <c s="1460" t="str">
        <f>$K46</f>
        <v>...1.1.1</v>
      </c>
      <c s="1440"/>
      <c s="303"/>
      <c s="754"/>
      <c s="754"/>
      <c s="1260"/>
      <c s="2268"/>
      <c s="2110" t="s">
        <v>65</v>
      </c>
      <c s="2268"/>
      <c s="2110" t="s">
        <v>65</v>
      </c>
      <c s="754"/>
      <c s="754"/>
      <c s="1260"/>
      <c s="2268"/>
      <c s="2110" t="s">
        <v>65</v>
      </c>
      <c s="2290"/>
      <c s="2110" t="s">
        <v>65</v>
      </c>
      <c s="1441"/>
      <c s="235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s="514">
        <f>STRCHECKDATE(V47:AJ47)</f>
      </c>
      <c s="503"/>
      <c s="503" t="str">
        <f>IF(T46="","",T46)</f>
        <v/>
      </c>
      <c s="503"/>
      <c s="503"/>
      <c s="1158">
        <v>23</v>
      </c>
    </row>
    <row r="47" spans="1:43" ht="0" customHeight="1">
      <c r="A47" s="1366" t="s">
        <v>241</v>
      </c>
      <c s="1366" t="s">
        <v>242</v>
      </c>
      <c s="1366" t="s">
        <v>243</v>
      </c>
      <c s="1366" t="s">
        <v>498</v>
      </c>
      <c s="2262"/>
      <c s="2262"/>
      <c s="2262"/>
      <c s="2262"/>
      <c s="2289"/>
      <c s="2289"/>
      <c s="2259"/>
      <c s="1367"/>
      <c r="P47" s="2260"/>
      <c s="2260"/>
      <c s="360"/>
      <c s="1459"/>
      <c s="303"/>
      <c s="303"/>
      <c s="328"/>
      <c s="328"/>
      <c s="331" t="str">
        <f>Y46&amp;"-"&amp;AA46</f>
        <v>-</v>
      </c>
      <c s="2269"/>
      <c s="2110"/>
      <c s="2269"/>
      <c s="2110"/>
      <c s="328"/>
      <c s="328"/>
      <c s="331" t="str">
        <f>AF46&amp;"-"&amp;AH46</f>
        <v>-</v>
      </c>
      <c s="2269"/>
      <c s="2110"/>
      <c s="2291"/>
      <c s="2110"/>
      <c s="1442"/>
      <c s="2352"/>
      <c r="AM47" s="503"/>
      <c s="503" t="str">
        <f>IF(T47="","",T47)</f>
        <v/>
      </c>
      <c s="503"/>
      <c s="503"/>
      <c s="1158">
        <v>0</v>
      </c>
    </row>
    <row r="48" spans="1:43" ht="21" customHeight="1">
      <c r="A48" s="1366" t="s">
        <v>241</v>
      </c>
      <c s="1366" t="s">
        <v>242</v>
      </c>
      <c s="1366" t="s">
        <v>243</v>
      </c>
      <c s="1366" t="s">
        <v>498</v>
      </c>
      <c s="2262"/>
      <c s="2262"/>
      <c s="2262"/>
      <c s="2262"/>
      <c s="2289"/>
      <c s="2259"/>
      <c s="1366"/>
      <c s="1367"/>
      <c r="P48" s="2260"/>
      <c s="2260"/>
      <c s="359"/>
      <c s="1281"/>
      <c s="290" t="s">
        <v>486</v>
      </c>
      <c s="370"/>
      <c s="370"/>
      <c s="370"/>
      <c s="370"/>
      <c s="370"/>
      <c s="370"/>
      <c s="370"/>
      <c s="370"/>
      <c s="370"/>
      <c s="370"/>
      <c s="370"/>
      <c s="370"/>
      <c s="370"/>
      <c s="370"/>
      <c s="370"/>
      <c s="370"/>
      <c s="1261" t="s">
        <v>487</v>
      </c>
      <c r="AM48" s="503"/>
      <c s="503" t="str">
        <f>IF(T48="","",T48)</f>
        <v>Добавить значение признака дифференциации</v>
      </c>
      <c s="503"/>
      <c s="503"/>
      <c s="1158">
        <v>20</v>
      </c>
    </row>
    <row r="49" spans="1:43" ht="22.05" customHeight="1">
      <c r="A49" s="1366" t="s">
        <v>241</v>
      </c>
      <c s="1366" t="s">
        <v>242</v>
      </c>
      <c s="1366" t="s">
        <v>243</v>
      </c>
      <c s="1366" t="s">
        <v>498</v>
      </c>
      <c s="2262"/>
      <c s="2262"/>
      <c s="2262"/>
      <c s="2262"/>
      <c s="2259"/>
      <c s="1366"/>
      <c s="1366"/>
      <c s="1367"/>
      <c r="P49" s="2260"/>
      <c s="1453"/>
      <c s="359"/>
      <c s="1281"/>
      <c s="368" t="s">
        <v>412</v>
      </c>
      <c s="370"/>
      <c s="370"/>
      <c s="370"/>
      <c s="370"/>
      <c s="370"/>
      <c s="370"/>
      <c s="370"/>
      <c s="369"/>
      <c s="370"/>
      <c s="370"/>
      <c s="370"/>
      <c s="370"/>
      <c s="370"/>
      <c s="370"/>
      <c s="369"/>
      <c s="370"/>
      <c s="1443"/>
      <c r="AM49" s="503"/>
      <c s="503" t="str">
        <f>IF(T49="","",T49)</f>
        <v>Добавить группу потребителей</v>
      </c>
      <c s="503"/>
      <c s="503"/>
      <c s="1158">
        <v>21</v>
      </c>
    </row>
    <row r="50" spans="1:43" ht="22.05" customHeight="1">
      <c r="A50" s="1366" t="s">
        <v>241</v>
      </c>
      <c s="1366" t="s">
        <v>242</v>
      </c>
      <c s="1366" t="s">
        <v>243</v>
      </c>
      <c s="1366" t="s">
        <v>498</v>
      </c>
      <c s="2262"/>
      <c s="2262"/>
      <c s="2262"/>
      <c s="2261"/>
      <c s="1366"/>
      <c s="1366"/>
      <c s="1366"/>
      <c s="1367"/>
      <c s="1368"/>
      <c s="1368"/>
      <c s="540"/>
      <c s="363"/>
      <c s="378"/>
      <c s="358"/>
      <c s="1281"/>
      <c s="375" t="s">
        <v>488</v>
      </c>
      <c s="370"/>
      <c s="370"/>
      <c s="370"/>
      <c s="370"/>
      <c s="370"/>
      <c s="370"/>
      <c s="370"/>
      <c s="369"/>
      <c s="370"/>
      <c s="370"/>
      <c s="370"/>
      <c s="370"/>
      <c s="370"/>
      <c s="370"/>
      <c s="369"/>
      <c s="370"/>
      <c s="306"/>
      <c r="AM50" s="503"/>
      <c s="503" t="str">
        <f>IF(T50="","",T50)</f>
        <v>Добавить наименование признака дифференциации</v>
      </c>
      <c s="503"/>
      <c s="503"/>
      <c s="1158">
        <v>21</v>
      </c>
    </row>
    <row r="51" spans="1:43" s="1645" customFormat="1" ht="0" customHeight="1">
      <c r="A51" s="1346" t="s">
        <v>241</v>
      </c>
      <c s="1346" t="s">
        <v>242</v>
      </c>
      <c s="1317"/>
      <c s="1317"/>
      <c s="2262"/>
      <c s="2261"/>
      <c s="1317"/>
      <c s="1317"/>
      <c s="1317"/>
      <c s="1317"/>
      <c s="1317"/>
      <c s="1461"/>
      <c s="1324"/>
      <c s="1324"/>
      <c r="P51" s="1319"/>
      <c s="1320"/>
      <c s="1319"/>
      <c s="1325"/>
      <c s="1328" t="s">
        <v>415</v>
      </c>
      <c s="1327"/>
      <c s="1327"/>
      <c s="1327"/>
      <c s="1327"/>
      <c s="1327"/>
      <c s="1327"/>
      <c s="1327"/>
      <c s="1327"/>
      <c s="1327"/>
      <c s="1327"/>
      <c s="1327"/>
      <c s="1327"/>
      <c s="1327"/>
      <c s="1327"/>
      <c s="1327"/>
      <c s="1327"/>
      <c s="1327"/>
      <c r="AM51" s="792"/>
      <c s="792" t="str">
        <f>IF(T51="","",T51)</f>
        <v>Добавить централизованную систему для дифференциации</v>
      </c>
      <c s="792"/>
      <c s="792"/>
      <c s="521">
        <v>0</v>
      </c>
    </row>
    <row r="52" spans="1:43" s="1645" customFormat="1" ht="0" customHeight="1">
      <c r="A52" s="1346" t="s">
        <v>241</v>
      </c>
      <c s="1346"/>
      <c s="1346"/>
      <c s="1346"/>
      <c s="2261"/>
      <c s="1346"/>
      <c s="1346"/>
      <c s="1346"/>
      <c s="1346"/>
      <c s="1346"/>
      <c s="1346"/>
      <c s="1349"/>
      <c s="1324"/>
      <c s="1324"/>
      <c s="521"/>
      <c s="383"/>
      <c s="1347"/>
      <c s="383"/>
      <c s="1325"/>
      <c s="1328" t="s">
        <v>416</v>
      </c>
      <c s="1327"/>
      <c s="1327"/>
      <c s="1327"/>
      <c s="1327"/>
      <c s="1327"/>
      <c s="1327"/>
      <c s="1327"/>
      <c s="1327"/>
      <c s="1327"/>
      <c s="1327"/>
      <c s="1327"/>
      <c s="1327"/>
      <c s="1327"/>
      <c s="1327"/>
      <c s="1327"/>
      <c s="1327"/>
      <c s="1327"/>
      <c r="AM52" s="503"/>
      <c s="503" t="str">
        <f>IF(T52="","",T52)</f>
        <v>Добавить территорию для дифференциации</v>
      </c>
      <c s="503"/>
      <c s="503"/>
      <c s="514">
        <v>0</v>
      </c>
    </row>
    <row r="53" spans="1:43" s="1645" customFormat="1" ht="0" customHeight="1">
      <c r="A53" s="1317"/>
      <c s="1317"/>
      <c s="1317"/>
      <c s="1317"/>
      <c s="1346"/>
      <c s="1317"/>
      <c s="1317"/>
      <c s="1317"/>
      <c s="1317"/>
      <c s="1317"/>
      <c s="1317"/>
      <c s="1461"/>
      <c s="1324"/>
      <c s="1324"/>
      <c r="P53" s="1319"/>
      <c s="1320"/>
      <c s="1319"/>
      <c s="1325"/>
      <c s="1328" t="s">
        <v>448</v>
      </c>
      <c s="1327"/>
      <c s="1327"/>
      <c s="1327"/>
      <c s="1327"/>
      <c s="1327"/>
      <c s="1327"/>
      <c s="1327"/>
      <c s="1327"/>
      <c s="1327"/>
      <c s="1327"/>
      <c s="1327"/>
      <c s="1327"/>
      <c s="1327"/>
      <c s="1327"/>
      <c s="1327"/>
      <c s="1327"/>
      <c s="1327"/>
      <c r="AM53" s="792"/>
      <c s="792" t="str">
        <f>IF(T53="","",T53)</f>
        <v>Добавить наименование тарифа</v>
      </c>
      <c s="792"/>
      <c s="792"/>
      <c s="521">
        <v>0</v>
      </c>
    </row>
    <row r="54" spans="13:43" ht="11.55" customHeight="1">
      <c r="M54" s="1163"/>
      <c s="1163"/>
      <c s="540"/>
      <c s="1158"/>
      <c s="1158"/>
      <c s="1158"/>
      <c s="1158"/>
      <c r="AL54" s="1158"/>
      <c s="1158"/>
      <c s="1158"/>
      <c s="1158"/>
      <c s="1158"/>
      <c s="1158">
        <v>11</v>
      </c>
    </row>
    <row r="55" spans="15:43" ht="14.7" customHeight="1">
      <c r="O55" s="540"/>
      <c r="S55" s="1256"/>
      <c s="2288"/>
      <c s="2288"/>
      <c s="2288"/>
      <c s="2288"/>
      <c s="2288"/>
      <c s="2288"/>
      <c s="2288"/>
      <c s="2288"/>
      <c s="2288"/>
      <c s="2288"/>
      <c s="2288"/>
      <c s="2288"/>
      <c s="2288"/>
      <c s="2288"/>
      <c s="2288"/>
      <c s="2288"/>
      <c s="2288"/>
      <c s="2288"/>
      <c r="AQ55" s="1158">
        <v>14</v>
      </c>
    </row>
    <row r="56" spans="15:43" ht="14.7" customHeight="1">
      <c r="O56" s="540"/>
      <c r="AQ56" s="1158">
        <v>14</v>
      </c>
    </row>
    <row r="57" spans="15:43" ht="14.7" customHeight="1">
      <c r="O57" s="540"/>
      <c r="S57" s="1256"/>
      <c s="2288"/>
      <c s="2288"/>
      <c s="2288"/>
      <c s="2288"/>
      <c s="2288"/>
      <c s="2288"/>
      <c s="2288"/>
      <c s="2288"/>
      <c s="2288"/>
      <c s="2288"/>
      <c s="2288"/>
      <c s="2288"/>
      <c s="2288"/>
      <c s="2288"/>
      <c s="2288"/>
      <c s="2288"/>
      <c s="2288"/>
      <c s="2288"/>
      <c r="AQ57" s="1158">
        <v>14</v>
      </c>
    </row>
    <row r="58" spans="1:43" ht="22.5" customHeight="1" hidden="1">
      <c r="A58" s="1163" t="s">
        <v>81</v>
      </c>
      <c s="1163">
        <v>0</v>
      </c>
      <c s="1163">
        <v>0</v>
      </c>
      <c s="1163">
        <v>0</v>
      </c>
      <c s="1163">
        <v>0</v>
      </c>
      <c s="1163">
        <v>0</v>
      </c>
      <c s="1163">
        <v>0</v>
      </c>
      <c s="1163">
        <v>0</v>
      </c>
      <c s="1163">
        <v>0</v>
      </c>
      <c s="1163">
        <v>0</v>
      </c>
      <c s="1163">
        <v>0</v>
      </c>
      <c s="1450">
        <v>0</v>
      </c>
      <c s="1365">
        <v>0</v>
      </c>
      <c s="1365">
        <v>0</v>
      </c>
      <c s="1365">
        <v>0</v>
      </c>
      <c s="1449">
        <v>3</v>
      </c>
      <c s="347">
        <v>3</v>
      </c>
      <c s="347">
        <v>3</v>
      </c>
      <c s="584">
        <v>12</v>
      </c>
      <c s="1158">
        <v>35</v>
      </c>
      <c s="1158">
        <v>0</v>
      </c>
      <c s="1158">
        <v>0</v>
      </c>
      <c s="1158">
        <v>0</v>
      </c>
      <c s="1158">
        <v>0</v>
      </c>
      <c s="1158">
        <v>0</v>
      </c>
      <c s="1158">
        <v>0</v>
      </c>
      <c s="1158">
        <v>0</v>
      </c>
      <c s="1158">
        <v>0</v>
      </c>
      <c s="1158">
        <v>24</v>
      </c>
      <c s="1158">
        <v>24</v>
      </c>
      <c s="1158">
        <v>24</v>
      </c>
      <c s="1158">
        <v>11</v>
      </c>
      <c s="1158">
        <v>3</v>
      </c>
      <c s="1158">
        <v>11</v>
      </c>
      <c s="1158">
        <v>0</v>
      </c>
      <c s="1158">
        <v>4</v>
      </c>
      <c s="1158">
        <v>115</v>
      </c>
      <c s="514">
        <v>10</v>
      </c>
      <c s="514">
        <v>10</v>
      </c>
      <c s="514">
        <v>10</v>
      </c>
      <c s="514">
        <v>10</v>
      </c>
      <c s="514">
        <v>10</v>
      </c>
      <c s="1158">
        <v>23</v>
      </c>
    </row>
  </sheetData>
  <sheetProtection formatColumns="0" formatRows="0" insertRows="0" deleteColumns="0" deleteRows="0" sort="0" autoFilter="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8 X65579 X131115 X196651 X262187 X327723 X393259 X458795 X524331 X589867 X655403 X720939 X786475 X852011 X917547 X983083 AE16 AE65579 AE131115 AE196651 AE262187 AE327723 AE393259 AE458795 AE524331 AE589867 AE655403 AE720939 AE786475 AE852011 AE917547 AE983083 X47 AE8 AE47"/>
    <dataValidation type="list" allowBlank="1" showInputMessage="1" showErrorMessage="1" errorTitle="Ошибка" error="Выберите значение из списка" sqref="V65576 V983080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C5:AJ5 AK65572:AK65579 AK131108:AK131115 AK196644:AK196651 AK262180:AK262187 AK327716:AK327723 AK393252:AK393259 AK458788:AK458795 AK524324:AK524331 AK589860:AK589867 AK655396:AK655403 AK720932:AK720939 AK786468:AK786475 AK852004:AK852011 AK917540:AK917547 AK983076:AK983083 T46 T7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7 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AA7"/>
    <dataValidation allowBlank="1" showInputMessage="1" showErrorMessage="1" prompt="Для выбора выполните двойной щелчок левой клавиши мыши по соответствующей ячейке." sqref="Z7 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AB7 AI327722 AI393258"/>
    <dataValidation allowBlank="1" sqref="S65580:AK65586 S131116:AK131122 S196652:AK196658 S262188:AK262194 S327724:AK327730 S393260:AK393266 S458796:AK458802 S524332:AK524338 S589868:AK589874 S655404:AK655410 S720940:AK720946 S786476:AK786482 S852012:AK852018 S917548:AK917554 S983084:AK983090"/>
    <dataValidation type="list" allowBlank="1" showInputMessage="1" prompt="Выберите значение из списка" errorTitle="Ошибка" error="Выберите значение из списка" sqref="V65577:AJ65577 V983081:AJ983081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 right="0.7" top="0.75" bottom="0.75" header="0.3" footer="0.3"/>
  <pageSetup orientation="portrait"/>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m="http://schemas.microsoft.com/office/excel/2006/main" xmlns:x14ac="http://schemas.microsoft.com/office/spreadsheetml/2009/9/ac" xmlns:xr="http://schemas.microsoft.com/office/spreadsheetml/2014/revision" xmlns:xr2="http://schemas.microsoft.com/office/spreadsheetml/2015/revision2" xmlns:xr3="http://schemas.microsoft.com/office/spreadsheetml/2016/revision3" xr:uid="{1E76021C-923D-455A-287C-A2EA5A7F1CD8}" mc:Ignorable="x14ac xr xr2 xr3">
  <sheetPr>
    <tabColor theme="6" tint="0.400000005960464"/>
  </sheetPr>
  <dimension ref="A1:AQ64"/>
  <sheetViews>
    <sheetView showGridLines="0" zoomScale="90" zoomScaleNormal="90" workbookViewId="0" topLeftCell="A1">
      <pane xSplit="27" ySplit="41" topLeftCell="AB42" activePane="bottomRight" state="frozen"/>
      <selection pane="topLeft" activeCell="A1" sqref="A1"/>
      <selection pane="bottomLeft" activeCell="A42" sqref="A42"/>
      <selection pane="topRight" activeCell="AB1" sqref="AB1"/>
      <selection pane="bottomRight" activeCell="A1" sqref="A1"/>
    </sheetView>
  </sheetViews>
  <sheetFormatPr defaultColWidth="10.5742857142857" defaultRowHeight="14.25" customHeight="1"/>
  <cols>
    <col min="1" max="3" width="10.1428571428571" style="1638" hidden="1" customWidth="1"/>
    <col min="4" max="4" width="11.8571428571429" style="1638" hidden="1" customWidth="1"/>
    <col min="5" max="11" width="10.1428571428571" style="1638" hidden="1" customWidth="1"/>
    <col min="12" max="12" width="10.1428571428571" style="2128" hidden="1" customWidth="1"/>
    <col min="13" max="15" width="10.1428571428571" style="2400" hidden="1" customWidth="1"/>
    <col min="16" max="16" width="3" style="1779" customWidth="1"/>
    <col min="17" max="17" width="3" style="1374" customWidth="1"/>
    <col min="18" max="18" width="3" style="347" customWidth="1"/>
    <col min="19" max="19" width="12" style="2410" customWidth="1"/>
    <col min="20" max="20" width="31" style="1638" customWidth="1"/>
    <col min="21" max="21" width="0.142857142857143" style="1638" customWidth="1"/>
    <col min="22" max="23" width="21.7142857142857" style="1638" hidden="1" customWidth="1"/>
    <col min="24" max="24" width="11.7142857142857" style="1638" hidden="1" customWidth="1"/>
    <col min="25" max="25" width="3.71428571428571" style="1638" hidden="1" customWidth="1"/>
    <col min="26" max="26" width="11.7142857142857" style="1638" hidden="1" customWidth="1"/>
    <col min="27" max="27" width="8.57142857142857" style="1638" hidden="1" customWidth="1"/>
    <col min="28" max="28" width="27" style="1638" customWidth="1"/>
    <col min="29" max="29" width="24.5714285714286" style="1638" customWidth="1"/>
    <col min="30" max="31" width="21" style="1638" customWidth="1"/>
    <col min="32" max="32" width="11" style="1638" customWidth="1"/>
    <col min="33" max="33" width="3.71428571428571" style="1638" customWidth="1"/>
    <col min="34" max="34" width="11" style="1638" customWidth="1"/>
    <col min="35" max="35" width="8.57142857142857" style="1638" hidden="1" customWidth="1"/>
    <col min="36" max="36" width="4" style="1638" customWidth="1"/>
    <col min="37" max="37" width="115" style="1638" customWidth="1"/>
    <col min="38" max="42" width="10" style="1645" customWidth="1"/>
    <col min="43" max="43" width="10.5714285714286" style="1638" hidden="1"/>
  </cols>
  <sheetData>
    <row r="1" spans="43:43" ht="0.75" customHeight="1" hidden="1">
      <c r="AQ1" s="1634" t="s">
        <v>14</v>
      </c>
    </row>
    <row r="2" spans="1:43" ht="21" customHeight="1" hidden="1">
      <c r="A2" s="1270"/>
      <c s="1270"/>
      <c s="1270"/>
      <c s="1270"/>
      <c s="2292">
        <v>1</v>
      </c>
      <c s="1270"/>
      <c s="1270"/>
      <c s="1270"/>
      <c s="1270"/>
      <c s="1270"/>
      <c s="1270"/>
      <c s="1313"/>
      <c s="1613"/>
      <c s="1613"/>
      <c s="1613"/>
      <c s="1412"/>
      <c s="876"/>
      <c s="358"/>
      <c s="1961">
        <f>INDEX(PT_DIFFERENTIATION_NUM_NTAR,MATCH(A2,PT_DIFFERENTIATION_NTAR_ID,0))</f>
      </c>
      <c s="1528" t="s">
        <v>125</v>
      </c>
      <c s="303"/>
      <c s="2246"/>
      <c s="2246"/>
      <c s="2246"/>
      <c s="2246"/>
      <c s="2246"/>
      <c s="2247"/>
      <c s="1955"/>
      <c s="2246">
        <f>INDEX(PT_DIFFERENTIATION_NTAR,MATCH(A2,PT_DIFFERENTIATION_NTAR_ID,0))</f>
      </c>
      <c s="2246"/>
      <c s="2246"/>
      <c s="2246"/>
      <c s="2246"/>
      <c s="2246"/>
      <c s="2246"/>
      <c s="2247"/>
      <c s="1261" t="s">
        <v>396</v>
      </c>
      <c r="AM2" s="1627"/>
      <c s="1627" t="str">
        <f>IF(T2="","",T2)</f>
        <v>Наименование тарифа</v>
      </c>
      <c s="1627"/>
      <c s="1627"/>
      <c s="1634">
        <v>0</v>
      </c>
    </row>
    <row r="3" spans="1:43" ht="21" customHeight="1" hidden="1">
      <c r="A3" s="1270"/>
      <c s="1270"/>
      <c s="1270"/>
      <c s="1270"/>
      <c s="2293"/>
      <c s="2292">
        <v>1</v>
      </c>
      <c s="1270"/>
      <c s="1270"/>
      <c s="1270"/>
      <c s="1270"/>
      <c s="1270"/>
      <c s="1313"/>
      <c s="1613"/>
      <c s="1613"/>
      <c s="1613"/>
      <c s="1972"/>
      <c s="1414"/>
      <c s="356"/>
      <c s="1961">
        <f>INDEX(PT_DIFFERENTIATION_NUM_TER,MATCH(B3,PT_DIFFERENTIATION_TER_ID,0))</f>
      </c>
      <c s="1525" t="s">
        <v>397</v>
      </c>
      <c s="303"/>
      <c s="2246"/>
      <c s="2246"/>
      <c s="2246"/>
      <c s="2246"/>
      <c s="2246"/>
      <c s="2247"/>
      <c s="1955"/>
      <c s="2246">
        <f>INDEX(PT_DIFFERENTIATION_TER,MATCH(B3,PT_DIFFERENTIATION_TER_ID,0))</f>
      </c>
      <c s="2246"/>
      <c s="2246"/>
      <c s="2246"/>
      <c s="2246"/>
      <c s="2246"/>
      <c s="2246"/>
      <c s="2247"/>
      <c s="1261" t="s">
        <v>398</v>
      </c>
      <c r="AM3" s="1627"/>
      <c s="1627" t="str">
        <f>IF(T3="","",T3)</f>
        <v>Территория действия тарифа</v>
      </c>
      <c s="1627"/>
      <c s="1627"/>
      <c s="1634">
        <v>0</v>
      </c>
    </row>
    <row r="4" spans="1:43" ht="22.5" customHeight="1" hidden="1">
      <c r="A4" s="1270"/>
      <c s="1270"/>
      <c s="1270"/>
      <c s="1270"/>
      <c s="2293"/>
      <c s="2293"/>
      <c s="2292">
        <v>1</v>
      </c>
      <c s="1270"/>
      <c s="1270"/>
      <c s="1270"/>
      <c s="1270"/>
      <c s="1313"/>
      <c s="1613"/>
      <c s="1613"/>
      <c s="1613"/>
      <c s="1415"/>
      <c s="1414"/>
      <c s="356"/>
      <c s="1961">
        <f>INDEX(PT_DIFFERENTIATION_NUM_CS,MATCH(C4,PT_DIFFERENTIATION_CS_ID,0))</f>
      </c>
      <c s="312" t="s">
        <v>399</v>
      </c>
      <c s="303"/>
      <c s="2246"/>
      <c s="2246"/>
      <c s="2246"/>
      <c s="2246"/>
      <c s="2246"/>
      <c s="2247"/>
      <c s="1955"/>
      <c s="2246">
        <f>INDEX(PT_DIFFERENTIATION_CS,MATCH(C4,PT_DIFFERENTIATION_CS_ID,0))</f>
      </c>
      <c s="2246"/>
      <c s="2246"/>
      <c s="2246"/>
      <c s="2246"/>
      <c s="2246"/>
      <c s="2246"/>
      <c s="2247"/>
      <c s="1261" t="s">
        <v>400</v>
      </c>
      <c r="AM4" s="1627"/>
      <c s="1627" t="str">
        <f>IF(T4="","",T4)</f>
        <v>Наименование системы теплоснабжения</v>
      </c>
      <c s="1627"/>
      <c s="1627"/>
      <c s="1634">
        <v>0</v>
      </c>
    </row>
    <row r="5" spans="1:43" ht="21" customHeight="1" hidden="1">
      <c r="A5" s="1270"/>
      <c s="1270"/>
      <c s="1270"/>
      <c s="1270"/>
      <c s="2293"/>
      <c s="2293"/>
      <c s="2293"/>
      <c s="2292">
        <v>1</v>
      </c>
      <c s="1270"/>
      <c s="1270"/>
      <c s="1270"/>
      <c s="1313"/>
      <c s="1613"/>
      <c s="1613"/>
      <c s="1613"/>
      <c s="1415"/>
      <c s="1414"/>
      <c s="356"/>
      <c s="1961">
        <f>INDEX(PT_DIFFERENTIATION_NUM_IST_TE,MATCH(D5,PT_DIFFERENTIATION_IST_TE_ID,0))</f>
      </c>
      <c s="313" t="s">
        <v>401</v>
      </c>
      <c s="303"/>
      <c s="2246"/>
      <c s="2246"/>
      <c s="2246"/>
      <c s="2246"/>
      <c s="2246"/>
      <c s="2247"/>
      <c s="1955"/>
      <c s="2246">
        <f>INDEX(PT_DIFFERENTIATION_IST_TE,MATCH(D5,PT_DIFFERENTIATION_IST_TE_ID,0))</f>
      </c>
      <c s="2246"/>
      <c s="2246"/>
      <c s="2246"/>
      <c s="2246"/>
      <c s="2246"/>
      <c s="2246"/>
      <c s="2247"/>
      <c s="1261" t="s">
        <v>402</v>
      </c>
      <c r="AM5" s="1627"/>
      <c s="1627" t="str">
        <f>IF(T5="","",T5)</f>
        <v>Источник тепловой энергии</v>
      </c>
      <c s="1627"/>
      <c s="1627"/>
      <c s="1634">
        <v>0</v>
      </c>
    </row>
    <row r="6" spans="1:43" s="1645" customFormat="1" ht="0.75" customHeight="1" hidden="1">
      <c r="A6" s="1378"/>
      <c s="1378"/>
      <c s="1378"/>
      <c s="1378"/>
      <c s="2293"/>
      <c s="2293"/>
      <c s="2293"/>
      <c s="2293"/>
      <c s="2130">
        <f>S5&amp;".1"</f>
      </c>
      <c s="1378"/>
      <c s="1378"/>
      <c s="1384" t="s">
        <v>403</v>
      </c>
      <c s="1249"/>
      <c s="1249"/>
      <c s="1249"/>
      <c s="2260">
        <v>1</v>
      </c>
      <c s="1957"/>
      <c s="359"/>
      <c s="1045"/>
      <c s="1386"/>
      <c s="1387"/>
      <c s="2300"/>
      <c s="2300"/>
      <c s="2300"/>
      <c s="2300"/>
      <c s="2300"/>
      <c s="2301"/>
      <c s="1963"/>
      <c s="2300"/>
      <c s="2300"/>
      <c s="2300"/>
      <c s="2300"/>
      <c s="2300"/>
      <c s="2300"/>
      <c s="2300"/>
      <c s="2301"/>
      <c s="1388"/>
      <c r="AM6" s="1627"/>
      <c s="1627" t="str">
        <f>IF(T6="","",T6)</f>
        <v/>
      </c>
      <c s="1627"/>
      <c s="1627"/>
      <c s="1639">
        <v>0</v>
      </c>
    </row>
    <row r="7" spans="1:43" s="1645" customFormat="1" ht="0.75" customHeight="1" hidden="1">
      <c r="A7" s="1378"/>
      <c s="1378"/>
      <c s="1378"/>
      <c s="1378"/>
      <c s="2293"/>
      <c s="2293"/>
      <c s="2293"/>
      <c s="2293"/>
      <c s="2104"/>
      <c s="2130">
        <f>S5&amp;".1"</f>
      </c>
      <c s="1378"/>
      <c s="1384"/>
      <c s="1249"/>
      <c s="1249"/>
      <c s="1249"/>
      <c s="2260"/>
      <c s="2260">
        <v>1</v>
      </c>
      <c s="360"/>
      <c s="1045"/>
      <c s="1402"/>
      <c s="1387"/>
      <c s="2300"/>
      <c s="2300"/>
      <c s="2300"/>
      <c s="2300"/>
      <c s="2300"/>
      <c s="2301"/>
      <c s="1963"/>
      <c s="2300"/>
      <c s="2300"/>
      <c s="2300"/>
      <c s="2300"/>
      <c s="2300"/>
      <c s="2300"/>
      <c s="2300"/>
      <c s="2301"/>
      <c s="1388"/>
      <c r="AM7" s="1627"/>
      <c s="1627" t="str">
        <f>IF(T7="","",T7)</f>
        <v/>
      </c>
      <c s="1627"/>
      <c s="1627"/>
      <c s="1639">
        <v>0</v>
      </c>
    </row>
    <row r="8" spans="1:43" ht="21" customHeight="1" hidden="1">
      <c r="A8" s="1270"/>
      <c s="1270"/>
      <c s="1270"/>
      <c s="1270"/>
      <c s="2293"/>
      <c s="2293"/>
      <c s="2293"/>
      <c s="2293"/>
      <c s="2104"/>
      <c s="2104"/>
      <c s="1994">
        <f>S5&amp;".1"</f>
      </c>
      <c s="1313"/>
      <c r="P8" s="2260"/>
      <c s="2260"/>
      <c s="1998">
        <v>1</v>
      </c>
      <c s="1996">
        <f>$K8</f>
      </c>
      <c s="1997"/>
      <c s="303"/>
      <c s="754"/>
      <c s="1260"/>
      <c s="1995"/>
      <c s="1993" t="s">
        <v>65</v>
      </c>
      <c s="1995"/>
      <c s="1993" t="s">
        <v>65</v>
      </c>
      <c s="1999"/>
      <c s="2000" t="s">
        <v>22</v>
      </c>
      <c s="754"/>
      <c s="1260"/>
      <c s="1958"/>
      <c s="1945" t="s">
        <v>65</v>
      </c>
      <c s="1958"/>
      <c s="1945" t="s">
        <v>65</v>
      </c>
      <c s="1351"/>
      <c s="2256" t="s">
        <v>464</v>
      </c>
      <c s="1639">
        <f>STRCHECKDATE(#REF!)</f>
      </c>
      <c s="1627"/>
      <c s="1627" t="str">
        <f>IF(T8="","",T8)</f>
        <v/>
      </c>
      <c s="1627"/>
      <c s="1627"/>
      <c s="1634">
        <v>0</v>
      </c>
    </row>
    <row r="9" spans="1:43" ht="11.25" customHeight="1" hidden="1">
      <c r="A9" s="1270"/>
      <c s="1270"/>
      <c s="1270"/>
      <c s="1270"/>
      <c s="2293"/>
      <c s="2293"/>
      <c s="2293"/>
      <c s="2293"/>
      <c s="2104"/>
      <c s="2130"/>
      <c s="1270"/>
      <c s="1313"/>
      <c r="P9" s="2260"/>
      <c s="2260"/>
      <c s="359"/>
      <c s="1281"/>
      <c s="290" t="s">
        <v>468</v>
      </c>
      <c s="603"/>
      <c s="603"/>
      <c s="603"/>
      <c s="603"/>
      <c s="603"/>
      <c s="603"/>
      <c s="603"/>
      <c s="603"/>
      <c s="603"/>
      <c s="603"/>
      <c s="603"/>
      <c s="603"/>
      <c s="603"/>
      <c s="603"/>
      <c s="603"/>
      <c s="327"/>
      <c s="2258"/>
      <c r="AM9" s="1627"/>
      <c s="1627" t="str">
        <f>IF(T9="","",T9)</f>
        <v>Добавить строку</v>
      </c>
      <c s="1627"/>
      <c s="1627"/>
      <c s="1634">
        <v>0</v>
      </c>
    </row>
    <row r="10" spans="1:43" s="1645" customFormat="1" ht="0.75" customHeight="1" hidden="1">
      <c r="A10" s="1378"/>
      <c s="1378"/>
      <c s="1378"/>
      <c s="1378"/>
      <c s="2293"/>
      <c s="2293"/>
      <c s="2293"/>
      <c s="2293"/>
      <c s="2130"/>
      <c s="1378"/>
      <c s="1378"/>
      <c s="1384"/>
      <c s="1249"/>
      <c s="1249"/>
      <c s="1249"/>
      <c s="2260"/>
      <c s="1957"/>
      <c s="359"/>
      <c s="1389"/>
      <c s="1390"/>
      <c s="1391"/>
      <c s="1391"/>
      <c s="1391"/>
      <c s="1391"/>
      <c s="1391"/>
      <c s="1391"/>
      <c s="1391"/>
      <c s="1391"/>
      <c s="1391"/>
      <c s="1391"/>
      <c s="1391"/>
      <c s="1391"/>
      <c s="1391"/>
      <c s="1391"/>
      <c s="1391"/>
      <c s="1391"/>
      <c s="1392"/>
      <c r="AM10" s="1627"/>
      <c s="1627" t="str">
        <f>IF(T10="","",T10)</f>
        <v/>
      </c>
      <c s="1627"/>
      <c s="1627"/>
      <c s="1639">
        <v>0</v>
      </c>
    </row>
    <row r="11" spans="1:43" s="1645" customFormat="1" ht="0.75" customHeight="1" hidden="1">
      <c r="A11" s="1378"/>
      <c s="1378"/>
      <c s="1378"/>
      <c s="1378"/>
      <c s="2293"/>
      <c s="2293"/>
      <c s="2293"/>
      <c s="2292"/>
      <c s="1378"/>
      <c s="1378"/>
      <c s="1378"/>
      <c s="1384"/>
      <c s="1381"/>
      <c s="1381"/>
      <c s="354"/>
      <c s="383"/>
      <c s="1347"/>
      <c s="1404"/>
      <c s="1389"/>
      <c s="1390"/>
      <c s="1391"/>
      <c s="1391"/>
      <c s="1391"/>
      <c s="1391"/>
      <c s="1391"/>
      <c s="1391"/>
      <c s="1391"/>
      <c s="1391"/>
      <c s="1391"/>
      <c s="1391"/>
      <c s="1391"/>
      <c s="1391"/>
      <c s="1391"/>
      <c s="1391"/>
      <c s="1391"/>
      <c s="1391"/>
      <c s="1392"/>
      <c r="AM11" s="1627"/>
      <c s="1627" t="str">
        <f>IF(T11="","",T11)</f>
        <v/>
      </c>
      <c s="1627"/>
      <c s="1627"/>
      <c s="1639">
        <v>0</v>
      </c>
    </row>
    <row r="12" spans="1:43" s="1645" customFormat="1" ht="0.75" customHeight="1" hidden="1">
      <c r="A12" s="1378"/>
      <c s="1378"/>
      <c s="1378"/>
      <c s="1377"/>
      <c s="2293"/>
      <c s="2293"/>
      <c s="2292"/>
      <c s="1377"/>
      <c s="1377"/>
      <c s="1377"/>
      <c s="1377"/>
      <c s="1380"/>
      <c s="1381"/>
      <c s="1381"/>
      <c s="354"/>
      <c s="1319"/>
      <c s="1320"/>
      <c s="1319"/>
      <c s="1325"/>
      <c s="1328" t="s">
        <v>414</v>
      </c>
      <c s="1327"/>
      <c s="1327"/>
      <c s="1327"/>
      <c s="1327"/>
      <c s="1327"/>
      <c s="1327"/>
      <c s="1327"/>
      <c s="1327"/>
      <c s="1327"/>
      <c s="1327"/>
      <c s="1327"/>
      <c s="1327"/>
      <c s="1327"/>
      <c s="1327"/>
      <c s="1327"/>
      <c s="1327"/>
      <c s="1327"/>
      <c r="AM12" s="1254"/>
      <c s="1254" t="str">
        <f>IF(T12="","",T12)</f>
        <v>Добавить источник для дифференциации</v>
      </c>
      <c s="1254"/>
      <c s="1254"/>
      <c s="1645">
        <v>0</v>
      </c>
    </row>
    <row r="13" spans="1:43" s="1645" customFormat="1" ht="0.75" customHeight="1" hidden="1">
      <c r="A13" s="1378"/>
      <c s="1378"/>
      <c s="1377"/>
      <c s="1377"/>
      <c s="2293"/>
      <c s="2292"/>
      <c s="1377"/>
      <c s="1377"/>
      <c s="1377"/>
      <c s="1377"/>
      <c s="1377"/>
      <c s="1380"/>
      <c s="1382"/>
      <c s="1382"/>
      <c s="354"/>
      <c s="1319"/>
      <c s="1320"/>
      <c s="1319"/>
      <c s="1325"/>
      <c s="1328" t="s">
        <v>415</v>
      </c>
      <c s="1327"/>
      <c s="1327"/>
      <c s="1327"/>
      <c s="1327"/>
      <c s="1327"/>
      <c s="1327"/>
      <c s="1327"/>
      <c s="1327"/>
      <c s="1327"/>
      <c s="1327"/>
      <c s="1327"/>
      <c s="1327"/>
      <c s="1327"/>
      <c s="1327"/>
      <c s="1327"/>
      <c s="1327"/>
      <c s="1327"/>
      <c r="AM13" s="1254"/>
      <c s="1254" t="str">
        <f>IF(T13="","",T13)</f>
        <v>Добавить централизованную систему для дифференциации</v>
      </c>
      <c s="1254"/>
      <c s="1254"/>
      <c s="1645">
        <v>0</v>
      </c>
    </row>
    <row r="14" spans="1:43" s="1645" customFormat="1" ht="0.75" customHeight="1" hidden="1">
      <c r="A14" s="1378"/>
      <c s="1378"/>
      <c s="1378"/>
      <c s="1378"/>
      <c s="2292"/>
      <c s="1378"/>
      <c s="1378"/>
      <c s="1378"/>
      <c s="1378"/>
      <c s="1378"/>
      <c s="1378"/>
      <c s="1384"/>
      <c s="1382"/>
      <c s="1382"/>
      <c s="354"/>
      <c s="383"/>
      <c s="1347"/>
      <c s="383"/>
      <c s="1325"/>
      <c s="1328" t="s">
        <v>416</v>
      </c>
      <c s="1327"/>
      <c s="1327"/>
      <c s="1327"/>
      <c s="1327"/>
      <c s="1327"/>
      <c s="1327"/>
      <c s="1327"/>
      <c s="1327"/>
      <c s="1327"/>
      <c s="1327"/>
      <c s="1327"/>
      <c s="1327"/>
      <c s="1327"/>
      <c s="1327"/>
      <c s="1327"/>
      <c s="1327"/>
      <c s="1327"/>
      <c r="AM14" s="1627"/>
      <c s="1627" t="str">
        <f>IF(T14="","",T14)</f>
        <v>Добавить территорию для дифференциации</v>
      </c>
      <c s="1627"/>
      <c s="1627"/>
      <c s="1639">
        <v>0</v>
      </c>
    </row>
    <row r="15" spans="43:43" ht="14.25" customHeight="1" hidden="1">
      <c r="AQ15" s="1634">
        <v>0</v>
      </c>
    </row>
    <row r="16" spans="29:43" ht="14.25" customHeight="1" hidden="1">
      <c r="AC16" s="1505"/>
      <c s="1406"/>
      <c s="1407"/>
      <c s="1739"/>
      <c s="1969" t="s">
        <v>65</v>
      </c>
      <c s="1739"/>
      <c s="1969" t="s">
        <v>65</v>
      </c>
      <c r="AQ16" s="1634">
        <v>0</v>
      </c>
    </row>
    <row r="17" spans="38:43" ht="14.25" customHeight="1" hidden="1">
      <c r="AL17" s="1644"/>
      <c s="1644"/>
      <c s="1644"/>
      <c s="1644"/>
      <c s="1644"/>
      <c s="1634">
        <v>0</v>
      </c>
    </row>
    <row r="18" spans="15:43" ht="14.25" customHeight="1" hidden="1">
      <c r="O18" s="1348" t="s">
        <v>417</v>
      </c>
      <c r="X18" s="1348"/>
      <c r="Z18" s="1348"/>
      <c r="AF18" s="1348"/>
      <c r="AH18" s="1348"/>
      <c r="AL18" s="1644"/>
      <c s="1644"/>
      <c s="1644"/>
      <c s="1644"/>
      <c s="1644"/>
      <c s="1634">
        <v>0</v>
      </c>
    </row>
    <row r="19" spans="38:43" ht="14.25" customHeight="1" hidden="1">
      <c r="AL19" s="1644"/>
      <c s="1644"/>
      <c s="1644"/>
      <c s="1644"/>
      <c s="1644"/>
      <c s="1634">
        <v>0</v>
      </c>
    </row>
    <row r="20" spans="1:43" s="1512" customFormat="1" ht="14.25" customHeight="1" hidden="1">
      <c r="A20" s="1974"/>
      <c s="1974"/>
      <c s="1974"/>
      <c s="1974"/>
      <c s="1974"/>
      <c s="1974"/>
      <c s="1974"/>
      <c s="1974"/>
      <c s="1974"/>
      <c s="1974"/>
      <c s="1974"/>
      <c s="1974"/>
      <c s="1975"/>
      <c s="1975"/>
      <c s="1976" t="s">
        <v>418</v>
      </c>
      <c s="1511"/>
      <c s="1513"/>
      <c s="1513"/>
      <c r="Y20" s="1510" t="s">
        <v>420</v>
      </c>
      <c r="AA20" s="1510" t="s">
        <v>421</v>
      </c>
      <c r="AC20" s="1510" t="s">
        <v>470</v>
      </c>
      <c r="AG20" s="1510" t="s">
        <v>420</v>
      </c>
      <c r="AI20" s="1510" t="s">
        <v>421</v>
      </c>
      <c r="AL20" s="1514"/>
      <c s="1514"/>
      <c s="1514"/>
      <c s="1514"/>
      <c s="1514"/>
      <c s="1510">
        <v>0</v>
      </c>
    </row>
    <row r="21" spans="15:43" ht="14.25" customHeight="1" hidden="1">
      <c r="O21" s="1313"/>
      <c r="AL21" s="1644"/>
      <c s="1644"/>
      <c s="1644"/>
      <c s="1644"/>
      <c s="1644"/>
      <c s="1634">
        <v>0</v>
      </c>
    </row>
    <row r="22" spans="15:43" ht="14.25" customHeight="1" hidden="1">
      <c r="O22" s="1313"/>
      <c r="AL22" s="1644"/>
      <c s="1644"/>
      <c s="1644"/>
      <c s="1644"/>
      <c s="1644"/>
      <c s="1634">
        <v>0</v>
      </c>
    </row>
    <row r="23" spans="17:43" ht="14.7" customHeight="1">
      <c r="Q23" s="294"/>
      <c s="379"/>
      <c s="1278"/>
      <c s="460"/>
      <c s="460"/>
      <c s="1638"/>
      <c s="1638"/>
      <c s="1638"/>
      <c s="1638"/>
      <c s="1638"/>
      <c s="1638"/>
      <c s="1638"/>
      <c s="1638"/>
      <c s="1638"/>
      <c s="1638"/>
      <c s="1638"/>
      <c s="1638"/>
      <c s="1638"/>
      <c s="1638"/>
      <c r="AQ23" s="1634">
        <v>14</v>
      </c>
    </row>
    <row r="24" spans="17:43" ht="39.75" customHeight="1">
      <c r="Q24" s="294"/>
      <c s="379"/>
      <c s="2251" t="str">
        <f>IF(TEMPLATE_GROUP="P",PT_P_FORM_HEAT_7_NAME_FORM,PT_R_FORM_HEAT_24_NAME_FORM)</f>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s="2251"/>
      <c s="2251"/>
      <c s="2251"/>
      <c s="2251"/>
      <c s="2251"/>
      <c s="2251"/>
      <c s="2251"/>
      <c s="2251"/>
      <c s="2251"/>
      <c s="2251"/>
      <c s="2251"/>
      <c s="2251"/>
      <c s="2251"/>
      <c s="2251"/>
      <c s="2251"/>
      <c s="1246"/>
      <c r="AQ24" s="1634">
        <v>38</v>
      </c>
    </row>
    <row r="25" spans="17:43" ht="14.7" customHeight="1">
      <c r="Q25" s="294"/>
      <c s="379"/>
      <c s="2252" t="str">
        <f>IF(org=0,"Не определено",org)</f>
        <v>ГУП КК "Кубаньводкомплекс"</v>
      </c>
      <c s="2252"/>
      <c s="2252"/>
      <c s="2252"/>
      <c s="2252"/>
      <c s="2252"/>
      <c s="2252"/>
      <c s="2252"/>
      <c s="2252"/>
      <c s="2252"/>
      <c s="2252"/>
      <c s="2252"/>
      <c s="2252"/>
      <c s="2252"/>
      <c s="2252"/>
      <c s="2252"/>
      <c s="1246"/>
      <c r="AQ25" s="1634">
        <v>14</v>
      </c>
    </row>
    <row r="26" spans="17:43" ht="14.25" customHeight="1" hidden="1">
      <c r="Q26" s="294"/>
      <c s="379"/>
      <c s="1278"/>
      <c s="460"/>
      <c s="460"/>
      <c s="325"/>
      <c s="325"/>
      <c s="325"/>
      <c s="325"/>
      <c s="325"/>
      <c s="325"/>
      <c s="325"/>
      <c s="325"/>
      <c s="325"/>
      <c s="325"/>
      <c s="325"/>
      <c s="325"/>
      <c s="325"/>
      <c s="325"/>
      <c s="1638"/>
      <c r="AQ26" s="1634">
        <v>0</v>
      </c>
    </row>
    <row r="27" spans="1:43" s="1856" customFormat="1" ht="25.5" customHeight="1" hidden="1">
      <c r="A27" s="1251"/>
      <c s="1251"/>
      <c s="1251"/>
      <c s="1251"/>
      <c s="1251"/>
      <c s="1251"/>
      <c s="1251"/>
      <c s="1251"/>
      <c s="1251"/>
      <c s="1251"/>
      <c s="1251"/>
      <c s="1383"/>
      <c s="1251"/>
      <c s="1251"/>
      <c s="1251"/>
      <c s="1371"/>
      <c s="1371"/>
      <c r="S27" s="2253" t="s">
        <v>42</v>
      </c>
      <c s="2253"/>
      <c s="1375"/>
      <c s="2254" t="str">
        <f>IF(TITLE_NAME_OR_PR_CHANGE="",IF(TITLE_NAME_OR_PR="","",TITLE_NAME_OR_PR),TITLE_NAME_OR_PR_CHANGE)</f>
        <v/>
      </c>
      <c s="2254"/>
      <c s="2254"/>
      <c s="2254"/>
      <c s="2254"/>
      <c s="1638"/>
      <c s="1638"/>
      <c s="2254"/>
      <c s="2254"/>
      <c s="2254"/>
      <c s="2254"/>
      <c s="2254"/>
      <c s="2254"/>
      <c s="1638"/>
      <c s="1638"/>
      <c s="283"/>
      <c s="371"/>
      <c s="371"/>
      <c s="371"/>
      <c s="371"/>
      <c s="371"/>
      <c s="421">
        <v>0</v>
      </c>
    </row>
    <row r="28" spans="1:43" s="1856" customFormat="1" ht="18.75" customHeight="1" hidden="1">
      <c r="A28" s="1251"/>
      <c s="1251"/>
      <c s="1251"/>
      <c s="1251"/>
      <c s="1251"/>
      <c s="1251"/>
      <c s="1251"/>
      <c s="1251"/>
      <c s="1251"/>
      <c s="1251"/>
      <c s="1251"/>
      <c s="1383"/>
      <c s="1251"/>
      <c s="1251"/>
      <c s="1251"/>
      <c s="1371"/>
      <c s="1371"/>
      <c r="S28" s="2253" t="s">
        <v>423</v>
      </c>
      <c s="2253"/>
      <c s="1375"/>
      <c s="2267" t="str">
        <f>IF(TITLE_DATE_PR_CHANGE="",IF(TITLE_DATE_PR="","",TITLE_DATE_PR),TITLE_DATE_PR_CHANGE)</f>
        <v/>
      </c>
      <c s="2267"/>
      <c s="2267"/>
      <c s="2267"/>
      <c s="2267"/>
      <c s="1638"/>
      <c s="1638"/>
      <c s="2267"/>
      <c s="2267"/>
      <c s="2267"/>
      <c s="2267"/>
      <c s="2267"/>
      <c s="2267"/>
      <c s="1638"/>
      <c s="1638"/>
      <c s="283"/>
      <c s="371"/>
      <c s="371"/>
      <c s="371"/>
      <c s="371"/>
      <c s="371"/>
      <c s="421">
        <v>0</v>
      </c>
    </row>
    <row r="29" spans="1:43" s="1856" customFormat="1" ht="18.75" customHeight="1" hidden="1">
      <c r="A29" s="1251"/>
      <c s="1251"/>
      <c s="1251"/>
      <c s="1251"/>
      <c s="1251"/>
      <c s="1251"/>
      <c s="1251"/>
      <c s="1251"/>
      <c s="1251"/>
      <c s="1251"/>
      <c s="1251"/>
      <c s="1383"/>
      <c s="1251"/>
      <c s="1251"/>
      <c s="1251"/>
      <c s="1371"/>
      <c s="1371"/>
      <c r="S29" s="2253" t="s">
        <v>424</v>
      </c>
      <c s="2253"/>
      <c s="1375"/>
      <c s="2254" t="str">
        <f>IF(TITLE_NUMBER_PR_CHANGE="",IF(TITLE_NUMBER_PR="","",TITLE_NUMBER_PR),TITLE_NUMBER_PR_CHANGE)</f>
        <v/>
      </c>
      <c s="2254"/>
      <c s="2254"/>
      <c s="2254"/>
      <c s="2254"/>
      <c s="1638"/>
      <c s="1638"/>
      <c s="2254"/>
      <c s="2254"/>
      <c s="2254"/>
      <c s="2254"/>
      <c s="2254"/>
      <c s="2254"/>
      <c s="1638"/>
      <c s="1638"/>
      <c s="283"/>
      <c s="371"/>
      <c s="371"/>
      <c s="371"/>
      <c s="371"/>
      <c s="371"/>
      <c s="421">
        <v>0</v>
      </c>
    </row>
    <row r="30" spans="1:43" s="1856" customFormat="1" ht="18.75" customHeight="1" hidden="1">
      <c r="A30" s="1251"/>
      <c s="1251"/>
      <c s="1251"/>
      <c s="1251"/>
      <c s="1251"/>
      <c s="1251"/>
      <c s="1251"/>
      <c s="1251"/>
      <c s="1251"/>
      <c s="1251"/>
      <c s="1251"/>
      <c s="1383"/>
      <c s="1251"/>
      <c s="1251"/>
      <c s="1251"/>
      <c s="1371"/>
      <c s="1371"/>
      <c r="S30" s="2253" t="s">
        <v>43</v>
      </c>
      <c s="2253"/>
      <c s="1375"/>
      <c s="2254" t="str">
        <f>IF(TITLE_IST_PUB_CHANGE="",IF(TITLE_IST_PUB="","",TITLE_IST_PUB),TITLE_IST_PUB_CHANGE)</f>
        <v/>
      </c>
      <c s="2254"/>
      <c s="2254"/>
      <c s="2254"/>
      <c s="2254"/>
      <c s="1638"/>
      <c s="1638"/>
      <c s="2254"/>
      <c s="2254"/>
      <c s="2254"/>
      <c s="2254"/>
      <c s="2254"/>
      <c s="2254"/>
      <c s="1638"/>
      <c s="1638"/>
      <c s="283"/>
      <c s="371"/>
      <c s="371"/>
      <c s="371"/>
      <c s="371"/>
      <c s="371"/>
      <c s="421">
        <v>0</v>
      </c>
    </row>
    <row r="31" spans="17:43" ht="14.25" customHeight="1" hidden="1">
      <c r="Q31" s="294"/>
      <c s="379"/>
      <c s="1278"/>
      <c s="460"/>
      <c s="460"/>
      <c s="325"/>
      <c s="325"/>
      <c s="325"/>
      <c s="325"/>
      <c s="325"/>
      <c s="325"/>
      <c s="325"/>
      <c s="325"/>
      <c s="325"/>
      <c s="325"/>
      <c s="325"/>
      <c s="325"/>
      <c s="325"/>
      <c s="325"/>
      <c s="1638"/>
      <c r="AQ31" s="1634">
        <v>0</v>
      </c>
    </row>
    <row r="32" spans="1:43" s="1856" customFormat="1" ht="18.75" customHeight="1" hidden="1">
      <c r="A32" s="1251"/>
      <c s="1251"/>
      <c s="1251"/>
      <c s="1251"/>
      <c s="1251"/>
      <c s="1251"/>
      <c s="1251"/>
      <c s="1251"/>
      <c s="1251"/>
      <c s="1251"/>
      <c s="1251"/>
      <c s="1383"/>
      <c s="1251"/>
      <c s="1251"/>
      <c s="1251"/>
      <c s="1371"/>
      <c s="1371"/>
      <c r="S32" s="2253" t="s">
        <v>423</v>
      </c>
      <c s="2253"/>
      <c s="1375"/>
      <c s="2267" t="str">
        <f>IF(TITLE_DATE_PR_CHANGE="",IF(TITLE_DATE_PR="","",TITLE_DATE_PR),TITLE_DATE_PR_CHANGE)</f>
        <v/>
      </c>
      <c s="2267"/>
      <c s="2267"/>
      <c s="2267"/>
      <c s="2267"/>
      <c s="1638"/>
      <c s="1638"/>
      <c s="2267"/>
      <c s="2267"/>
      <c s="2267"/>
      <c s="2267"/>
      <c s="2267"/>
      <c s="2267"/>
      <c s="1638"/>
      <c s="1638"/>
      <c s="283"/>
      <c s="371"/>
      <c s="371"/>
      <c s="371"/>
      <c s="371"/>
      <c s="371"/>
      <c s="421">
        <v>0</v>
      </c>
    </row>
    <row r="33" spans="1:43" s="1856" customFormat="1" ht="18" customHeight="1" hidden="1">
      <c r="A33" s="1251"/>
      <c s="1251"/>
      <c s="1251"/>
      <c s="1251"/>
      <c s="1251"/>
      <c s="1251"/>
      <c s="1251"/>
      <c s="1251"/>
      <c s="1251"/>
      <c s="1251"/>
      <c s="1251"/>
      <c s="1383"/>
      <c s="1251"/>
      <c s="1251"/>
      <c s="1251"/>
      <c s="1371"/>
      <c s="1371"/>
      <c r="S33" s="2253" t="s">
        <v>424</v>
      </c>
      <c s="2253"/>
      <c s="1375"/>
      <c s="2254" t="str">
        <f>IF(TITLE_NUMBER_PR_CHANGE="",IF(TITLE_NUMBER_PR="","",TITLE_NUMBER_PR),TITLE_NUMBER_PR_CHANGE)</f>
        <v/>
      </c>
      <c s="2254"/>
      <c s="2254"/>
      <c s="2254"/>
      <c s="2254"/>
      <c s="1638"/>
      <c s="1638"/>
      <c s="2254"/>
      <c s="2254"/>
      <c s="2254"/>
      <c s="2254"/>
      <c s="2254"/>
      <c s="2254"/>
      <c s="1638"/>
      <c s="1638"/>
      <c s="283"/>
      <c s="371"/>
      <c s="371"/>
      <c s="371"/>
      <c s="371"/>
      <c s="371"/>
      <c s="421">
        <v>0</v>
      </c>
    </row>
    <row r="34" spans="1:43" s="1856" customFormat="1" ht="1.05" customHeight="1">
      <c r="A34" s="1251"/>
      <c s="1251"/>
      <c s="1251"/>
      <c s="1251"/>
      <c s="1251"/>
      <c s="1251"/>
      <c s="1251"/>
      <c s="1251"/>
      <c s="1251"/>
      <c s="1251"/>
      <c s="1251"/>
      <c s="1383"/>
      <c s="1251"/>
      <c s="1251"/>
      <c s="1251"/>
      <c s="1371"/>
      <c s="1371"/>
      <c r="S34" s="1638"/>
      <c s="1638"/>
      <c s="1973"/>
      <c s="1638"/>
      <c s="1638"/>
      <c s="1638"/>
      <c s="1638"/>
      <c s="1638"/>
      <c s="1645" t="s">
        <v>427</v>
      </c>
      <c s="1645"/>
      <c s="1638"/>
      <c s="1638"/>
      <c s="1638"/>
      <c s="1638"/>
      <c s="1638"/>
      <c s="1638"/>
      <c s="1645" t="s">
        <v>427</v>
      </c>
      <c r="AL34" s="371"/>
      <c s="371"/>
      <c s="371"/>
      <c s="371"/>
      <c s="371"/>
      <c s="421">
        <v>1</v>
      </c>
    </row>
    <row r="35" spans="17:43" ht="14.7" customHeight="1">
      <c r="Q35" s="294"/>
      <c s="379"/>
      <c s="1278"/>
      <c s="460"/>
      <c s="1247"/>
      <c s="2255"/>
      <c s="2255"/>
      <c s="2255"/>
      <c s="2255"/>
      <c s="2255"/>
      <c s="2255"/>
      <c s="1960"/>
      <c s="2255"/>
      <c s="2255"/>
      <c s="2255"/>
      <c s="2255"/>
      <c s="2255"/>
      <c s="2255"/>
      <c s="2255"/>
      <c r="AQ35" s="1634">
        <v>14</v>
      </c>
    </row>
    <row r="36" spans="17:43" ht="14.7" customHeight="1">
      <c r="Q36" s="294"/>
      <c s="379"/>
      <c s="2130" t="s">
        <v>300</v>
      </c>
      <c s="2130"/>
      <c s="2130"/>
      <c s="2130"/>
      <c s="2130"/>
      <c s="2130"/>
      <c s="2130"/>
      <c s="2130"/>
      <c s="2178"/>
      <c s="2178"/>
      <c s="2178"/>
      <c s="2130"/>
      <c s="2130"/>
      <c s="2130"/>
      <c s="2130"/>
      <c s="2130"/>
      <c s="2130"/>
      <c s="2130"/>
      <c s="2130" t="s">
        <v>301</v>
      </c>
      <c r="AQ36" s="1634">
        <v>14</v>
      </c>
    </row>
    <row r="37" spans="17:43" ht="14.7" customHeight="1">
      <c r="Q37" s="294"/>
      <c s="379"/>
      <c s="2276" t="s">
        <v>87</v>
      </c>
      <c s="2212" t="s">
        <v>499</v>
      </c>
      <c s="340"/>
      <c s="2278"/>
      <c s="2278"/>
      <c s="2278"/>
      <c s="2278"/>
      <c s="2278"/>
      <c s="2212" t="s">
        <v>430</v>
      </c>
      <c s="2211" t="s">
        <v>500</v>
      </c>
      <c s="2211" t="s">
        <v>474</v>
      </c>
      <c s="2294" t="s">
        <v>429</v>
      </c>
      <c s="2294"/>
      <c s="2278"/>
      <c s="2278"/>
      <c s="2279"/>
      <c s="2280" t="s">
        <v>430</v>
      </c>
      <c s="2283" t="s">
        <v>432</v>
      </c>
      <c s="2130"/>
      <c r="AQ37" s="1634">
        <v>14</v>
      </c>
    </row>
    <row r="38" spans="17:43" ht="35.7" customHeight="1">
      <c r="Q38" s="294"/>
      <c s="379"/>
      <c s="2276"/>
      <c s="2212"/>
      <c s="1034"/>
      <c s="2106" t="s">
        <v>477</v>
      </c>
      <c s="2130"/>
      <c s="2297" t="s">
        <v>436</v>
      </c>
      <c s="2316"/>
      <c s="2316"/>
      <c s="2212"/>
      <c s="2211"/>
      <c s="2211"/>
      <c s="2106" t="s">
        <v>477</v>
      </c>
      <c s="2130"/>
      <c s="2316" t="s">
        <v>436</v>
      </c>
      <c s="2316"/>
      <c s="2317"/>
      <c s="2281"/>
      <c s="2284"/>
      <c s="2130"/>
      <c r="AQ38" s="1634">
        <v>34</v>
      </c>
    </row>
    <row r="39" spans="17:43" ht="14.7" customHeight="1">
      <c r="Q39" s="294"/>
      <c s="379"/>
      <c s="2276"/>
      <c s="2212"/>
      <c s="1034"/>
      <c s="2343" t="str">
        <f>IF($AD$39&lt;&gt;"",$AD$39,"")</f>
        <v/>
      </c>
      <c s="2343"/>
      <c s="2298"/>
      <c s="2318"/>
      <c s="2318"/>
      <c s="2212"/>
      <c s="2211"/>
      <c s="2211"/>
      <c s="2359"/>
      <c s="2342"/>
      <c s="2318"/>
      <c s="2318"/>
      <c s="2319"/>
      <c s="2281"/>
      <c s="2284"/>
      <c s="2130"/>
      <c r="AQ39" s="1634">
        <v>14</v>
      </c>
    </row>
    <row r="40" spans="1:43" ht="14.7" customHeight="1">
      <c r="A40" s="1269"/>
      <c s="1269" t="s">
        <v>137</v>
      </c>
      <c s="1269" t="s">
        <v>138</v>
      </c>
      <c s="1269" t="s">
        <v>139</v>
      </c>
      <c s="1313" t="s">
        <v>437</v>
      </c>
      <c s="1313" t="s">
        <v>438</v>
      </c>
      <c s="1313" t="s">
        <v>439</v>
      </c>
      <c s="1313" t="s">
        <v>440</v>
      </c>
      <c s="1313" t="s">
        <v>441</v>
      </c>
      <c s="1313" t="s">
        <v>442</v>
      </c>
      <c s="1313" t="s">
        <v>443</v>
      </c>
      <c s="1313" t="s">
        <v>418</v>
      </c>
      <c r="Q40" s="294"/>
      <c s="379"/>
      <c s="2276"/>
      <c s="2212"/>
      <c s="305"/>
      <c s="1953" t="s">
        <v>478</v>
      </c>
      <c s="1953" t="s">
        <v>479</v>
      </c>
      <c s="1941" t="s">
        <v>446</v>
      </c>
      <c s="2273" t="s">
        <v>447</v>
      </c>
      <c s="2323"/>
      <c s="2212"/>
      <c s="2211"/>
      <c s="2211"/>
      <c s="1971" t="s">
        <v>478</v>
      </c>
      <c s="1962" t="s">
        <v>479</v>
      </c>
      <c s="1941" t="s">
        <v>446</v>
      </c>
      <c s="2273" t="s">
        <v>447</v>
      </c>
      <c s="2274"/>
      <c s="2282"/>
      <c s="2285"/>
      <c s="2130"/>
      <c r="AQ40" s="1634">
        <v>14</v>
      </c>
    </row>
    <row r="41" spans="1:43" s="1644" customFormat="1" ht="11.25" customHeight="1" hidden="1">
      <c r="A41" s="1269"/>
      <c s="1269"/>
      <c s="1269"/>
      <c s="1269"/>
      <c s="1269"/>
      <c s="1269"/>
      <c s="1269"/>
      <c s="1269"/>
      <c s="1269"/>
      <c s="1269"/>
      <c s="1269"/>
      <c s="1313"/>
      <c s="1968"/>
      <c s="1968"/>
      <c s="1968"/>
      <c s="513"/>
      <c s="1257"/>
      <c s="1257">
        <v>1</v>
      </c>
      <c s="1280" t="s">
        <v>109</v>
      </c>
      <c s="1258" t="s">
        <v>110</v>
      </c>
      <c s="1248" t="str">
        <f ca="1">OFFSET(U41,0,-1)</f>
        <v>2</v>
      </c>
      <c s="1959">
        <f ca="1">OFFSET(V41,0,-1)+1</f>
        <v>3</v>
      </c>
      <c s="1959">
        <f ca="1">OFFSET(W41,0,-1)+1</f>
        <v>4</v>
      </c>
      <c s="1959">
        <f ca="1">OFFSET(X41,0,-1)+1</f>
        <v>5</v>
      </c>
      <c s="2275">
        <f ca="1">OFFSET(Y41,0,-1)+1</f>
        <v>6</v>
      </c>
      <c s="2275"/>
      <c s="1344">
        <f ca="1">OFFSET(AA41,0,-2)+1</f>
        <v>7</v>
      </c>
      <c s="1344"/>
      <c s="1344"/>
      <c s="1959">
        <f ca="1">OFFSET(AD41,0,-1)+1</f>
        <v>1</v>
      </c>
      <c s="1959">
        <f ca="1">OFFSET(AE41,0,-1)+1</f>
        <v>2</v>
      </c>
      <c s="1959">
        <f ca="1">OFFSET(AF41,0,-1)+1</f>
        <v>3</v>
      </c>
      <c s="2275">
        <f ca="1">OFFSET(AG41,0,-1)+1</f>
        <v>4</v>
      </c>
      <c s="2275"/>
      <c s="1959">
        <f ca="1">OFFSET(AI41,0,-2)+1</f>
        <v>5</v>
      </c>
      <c s="1248">
        <f ca="1">OFFSET(AJ41,0,-1)</f>
        <v>5</v>
      </c>
      <c s="1959">
        <f ca="1">OFFSET(AK41,0,-1)+1</f>
        <v>6</v>
      </c>
      <c s="1639"/>
      <c s="1639"/>
      <c s="1639"/>
      <c s="1639"/>
      <c s="1639"/>
      <c s="1644">
        <v>0</v>
      </c>
    </row>
    <row r="42" spans="1:43" ht="107.25" customHeight="1">
      <c r="A42" s="1270" t="s">
        <v>206</v>
      </c>
      <c s="1270"/>
      <c s="1270"/>
      <c s="1270"/>
      <c s="2292">
        <v>1</v>
      </c>
      <c s="1270"/>
      <c s="1270"/>
      <c s="1270"/>
      <c s="1270"/>
      <c s="1270"/>
      <c s="1270"/>
      <c s="1313"/>
      <c s="1613"/>
      <c s="1613"/>
      <c s="1613"/>
      <c s="1412"/>
      <c s="876"/>
      <c s="358"/>
      <c s="1961">
        <f>INDEX(PT_DIFFERENTIATION_NUM_NTAR,MATCH(A42,PT_DIFFERENTIATION_NTAR_ID,0))</f>
        <v>0</v>
      </c>
      <c s="1528" t="s">
        <v>125</v>
      </c>
      <c s="303"/>
      <c s="2246"/>
      <c s="2246"/>
      <c s="2246"/>
      <c s="2246"/>
      <c s="2246"/>
      <c s="2247"/>
      <c s="1955"/>
      <c s="2246" t="str">
        <f>INDEX(PT_DIFFERENTIATION_NTAR,MATCH(A42,PT_DIFFERENTIATION_NTAR_ID,0))</f>
        <v/>
      </c>
      <c s="2246"/>
      <c s="2246"/>
      <c s="2246"/>
      <c s="2246"/>
      <c s="2246"/>
      <c s="2246"/>
      <c s="2247"/>
      <c s="1261"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
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 Федерального закона "О теплоснабжении", теплоснабжающей организации, теплосетевой организации в ценовых зонах теплоснабжения.
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 порядке - в тыс.руб.; в отношении льготного размера платы за подключение - в руб.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M42" s="1627"/>
      <c s="1627" t="str">
        <f>IF(T42="","",T42)</f>
        <v>Наименование тарифа</v>
      </c>
      <c s="1627"/>
      <c s="1627"/>
      <c s="1634">
        <v>102</v>
      </c>
    </row>
    <row r="43" spans="1:43" ht="22.05" customHeight="1">
      <c r="A43" s="1270" t="s">
        <v>206</v>
      </c>
      <c s="1270" t="s">
        <v>207</v>
      </c>
      <c s="1270"/>
      <c s="1270"/>
      <c s="2293"/>
      <c s="2292">
        <v>1</v>
      </c>
      <c s="1270"/>
      <c s="1270"/>
      <c s="1270"/>
      <c s="1270"/>
      <c s="1270"/>
      <c s="1313"/>
      <c s="1613"/>
      <c s="1613"/>
      <c s="1613"/>
      <c s="1972"/>
      <c s="1414"/>
      <c s="356"/>
      <c s="1961" t="str">
        <f>INDEX(PT_DIFFERENTIATION_NUM_TER,MATCH(B43,PT_DIFFERENTIATION_TER_ID,0))</f>
        <v>.</v>
      </c>
      <c s="1525" t="s">
        <v>397</v>
      </c>
      <c s="303"/>
      <c s="2246"/>
      <c s="2246"/>
      <c s="2246"/>
      <c s="2246"/>
      <c s="2246"/>
      <c s="2247"/>
      <c s="1955"/>
      <c s="2246" t="str">
        <f>INDEX(PT_DIFFERENTIATION_TER,MATCH(B43,PT_DIFFERENTIATION_TER_ID,0))</f>
        <v/>
      </c>
      <c s="2246"/>
      <c s="2246"/>
      <c s="2246"/>
      <c s="2246"/>
      <c s="2246"/>
      <c s="2246"/>
      <c s="2247"/>
      <c s="1261" t="s">
        <v>398</v>
      </c>
      <c r="AM43" s="1627"/>
      <c s="1627" t="str">
        <f>IF(T43="","",T43)</f>
        <v>Территория действия тарифа</v>
      </c>
      <c s="1627"/>
      <c s="1627"/>
      <c s="1634">
        <v>21</v>
      </c>
    </row>
    <row r="44" spans="1:43" ht="24" customHeight="1">
      <c r="A44" s="1270" t="s">
        <v>206</v>
      </c>
      <c s="1270" t="s">
        <v>207</v>
      </c>
      <c s="1270" t="s">
        <v>208</v>
      </c>
      <c s="1270"/>
      <c s="2293"/>
      <c s="2293"/>
      <c s="2292">
        <v>1</v>
      </c>
      <c s="1270"/>
      <c s="1270"/>
      <c s="1270"/>
      <c s="1270"/>
      <c s="1313"/>
      <c s="1613"/>
      <c s="1613"/>
      <c s="1613"/>
      <c s="1415"/>
      <c s="1414"/>
      <c s="356"/>
      <c s="1961" t="str">
        <f>INDEX(PT_DIFFERENTIATION_NUM_CS,MATCH(C44,PT_DIFFERENTIATION_CS_ID,0))</f>
        <v>..</v>
      </c>
      <c s="312" t="s">
        <v>399</v>
      </c>
      <c s="303"/>
      <c s="2246"/>
      <c s="2246"/>
      <c s="2246"/>
      <c s="2246"/>
      <c s="2246"/>
      <c s="2247"/>
      <c s="1955"/>
      <c s="2246" t="str">
        <f>INDEX(PT_DIFFERENTIATION_CS,MATCH(C44,PT_DIFFERENTIATION_CS_ID,0))</f>
        <v/>
      </c>
      <c s="2246"/>
      <c s="2246"/>
      <c s="2246"/>
      <c s="2246"/>
      <c s="2246"/>
      <c s="2246"/>
      <c s="2247"/>
      <c s="1261" t="s">
        <v>400</v>
      </c>
      <c r="AM44" s="1627"/>
      <c s="1627" t="str">
        <f>IF(T44="","",T44)</f>
        <v>Наименование системы теплоснабжения</v>
      </c>
      <c s="1627"/>
      <c s="1627"/>
      <c s="1634">
        <v>23</v>
      </c>
    </row>
    <row r="45" spans="1:43" ht="22.05" customHeight="1">
      <c r="A45" s="1270" t="s">
        <v>206</v>
      </c>
      <c s="1270" t="s">
        <v>207</v>
      </c>
      <c s="1270" t="s">
        <v>208</v>
      </c>
      <c s="1270" t="s">
        <v>209</v>
      </c>
      <c s="2293"/>
      <c s="2293"/>
      <c s="2293"/>
      <c s="2292">
        <v>1</v>
      </c>
      <c s="1270"/>
      <c s="1270"/>
      <c s="1270"/>
      <c s="1313"/>
      <c s="1613"/>
      <c s="1613"/>
      <c s="1613"/>
      <c s="1415"/>
      <c s="1414"/>
      <c s="356"/>
      <c s="1961" t="str">
        <f>INDEX(PT_DIFFERENTIATION_NUM_IST_TE,MATCH(D45,PT_DIFFERENTIATION_IST_TE_ID,0))</f>
        <v>...</v>
      </c>
      <c s="313" t="s">
        <v>401</v>
      </c>
      <c s="303"/>
      <c s="2246"/>
      <c s="2246"/>
      <c s="2246"/>
      <c s="2246"/>
      <c s="2246"/>
      <c s="2247"/>
      <c s="1955"/>
      <c s="2246" t="str">
        <f>INDEX(PT_DIFFERENTIATION_IST_TE,MATCH(D45,PT_DIFFERENTIATION_IST_TE_ID,0))</f>
        <v/>
      </c>
      <c s="2246"/>
      <c s="2246"/>
      <c s="2246"/>
      <c s="2246"/>
      <c s="2246"/>
      <c s="2246"/>
      <c s="2247"/>
      <c s="1261" t="s">
        <v>402</v>
      </c>
      <c r="AM45" s="1627"/>
      <c s="1627" t="str">
        <f>IF(T45="","",T45)</f>
        <v>Источник тепловой энергии</v>
      </c>
      <c s="1627"/>
      <c s="1627"/>
      <c s="1634">
        <v>21</v>
      </c>
    </row>
    <row r="46" spans="1:43" s="1645" customFormat="1" ht="0" customHeight="1">
      <c r="A46" s="1378" t="s">
        <v>206</v>
      </c>
      <c s="1378" t="s">
        <v>207</v>
      </c>
      <c s="1378" t="s">
        <v>208</v>
      </c>
      <c s="1378" t="s">
        <v>209</v>
      </c>
      <c s="2293"/>
      <c s="2293"/>
      <c s="2293"/>
      <c s="2293"/>
      <c s="2130" t="str">
        <f>S45&amp;".1"</f>
        <v>....1</v>
      </c>
      <c s="1378"/>
      <c s="1378"/>
      <c s="1384" t="s">
        <v>403</v>
      </c>
      <c s="1249"/>
      <c s="1249"/>
      <c s="1249"/>
      <c s="2260">
        <v>1</v>
      </c>
      <c s="1957"/>
      <c s="359"/>
      <c s="1045"/>
      <c s="1386"/>
      <c s="1387"/>
      <c s="2300"/>
      <c s="2300"/>
      <c s="2300"/>
      <c s="2300"/>
      <c s="2300"/>
      <c s="2301"/>
      <c s="1963"/>
      <c s="2300"/>
      <c s="2300"/>
      <c s="2300"/>
      <c s="2300"/>
      <c s="2300"/>
      <c s="2300"/>
      <c s="2300"/>
      <c s="2301"/>
      <c s="1388"/>
      <c r="AM46" s="1627"/>
      <c s="1627" t="str">
        <f>IF(T46="","",T46)</f>
        <v/>
      </c>
      <c s="1627"/>
      <c s="1627"/>
      <c s="1639">
        <v>0</v>
      </c>
    </row>
    <row r="47" spans="1:43" s="1645" customFormat="1" ht="0" customHeight="1">
      <c r="A47" s="1378" t="s">
        <v>206</v>
      </c>
      <c s="1378" t="s">
        <v>207</v>
      </c>
      <c s="1378" t="s">
        <v>208</v>
      </c>
      <c s="1378" t="s">
        <v>209</v>
      </c>
      <c s="2293"/>
      <c s="2293"/>
      <c s="2293"/>
      <c s="2293"/>
      <c s="2104"/>
      <c s="2130" t="str">
        <f>S45&amp;".1"</f>
        <v>....1</v>
      </c>
      <c s="1378"/>
      <c s="1384"/>
      <c s="1249"/>
      <c s="1249"/>
      <c s="1249"/>
      <c s="2260"/>
      <c s="2260">
        <v>1</v>
      </c>
      <c s="360"/>
      <c s="1045"/>
      <c s="1402"/>
      <c s="1387"/>
      <c s="2300"/>
      <c s="2300"/>
      <c s="2300"/>
      <c s="2300"/>
      <c s="2300"/>
      <c s="2301"/>
      <c s="1963"/>
      <c s="2300"/>
      <c s="2300"/>
      <c s="2300"/>
      <c s="2300"/>
      <c s="2300"/>
      <c s="2300"/>
      <c s="2300"/>
      <c s="2301"/>
      <c s="1388"/>
      <c r="AM47" s="1627"/>
      <c s="1627" t="str">
        <f>IF(T47="","",T47)</f>
        <v/>
      </c>
      <c s="1627"/>
      <c s="1627"/>
      <c s="1639">
        <v>0</v>
      </c>
    </row>
    <row r="48" spans="1:43" ht="22.05" customHeight="1">
      <c r="A48" s="1270" t="s">
        <v>206</v>
      </c>
      <c s="1270" t="s">
        <v>207</v>
      </c>
      <c s="1270" t="s">
        <v>208</v>
      </c>
      <c s="1270" t="s">
        <v>209</v>
      </c>
      <c s="2293"/>
      <c s="2293"/>
      <c s="2293"/>
      <c s="2293"/>
      <c s="2104"/>
      <c s="2104"/>
      <c s="1944" t="str">
        <f>S45&amp;".1"</f>
        <v>....1</v>
      </c>
      <c s="1313"/>
      <c r="P48" s="2260"/>
      <c s="2260"/>
      <c s="360">
        <v>1</v>
      </c>
      <c s="1965" t="str">
        <f>$K48</f>
        <v>....1</v>
      </c>
      <c s="1964"/>
      <c s="303"/>
      <c s="754"/>
      <c s="1260"/>
      <c s="1958"/>
      <c s="1945" t="s">
        <v>65</v>
      </c>
      <c s="1958"/>
      <c s="1945" t="s">
        <v>65</v>
      </c>
      <c s="1967"/>
      <c s="1966" t="s">
        <v>22</v>
      </c>
      <c s="754"/>
      <c s="1260"/>
      <c s="1958"/>
      <c s="1945" t="s">
        <v>65</v>
      </c>
      <c s="1958"/>
      <c s="1945" t="s">
        <v>65</v>
      </c>
      <c s="1351"/>
      <c s="2256" t="s">
        <v>480</v>
      </c>
      <c s="1639">
        <f>STRCHECKDATE(#REF!)</f>
      </c>
      <c s="1627"/>
      <c s="1627" t="str">
        <f>IF(T48="","",T48)</f>
        <v/>
      </c>
      <c s="1627"/>
      <c s="1627"/>
      <c s="1634">
        <v>21</v>
      </c>
    </row>
    <row r="49" spans="1:43" ht="11.55" customHeight="1">
      <c r="A49" s="1270" t="s">
        <v>206</v>
      </c>
      <c s="1270" t="s">
        <v>207</v>
      </c>
      <c s="1270" t="s">
        <v>208</v>
      </c>
      <c s="1270" t="s">
        <v>209</v>
      </c>
      <c s="2293"/>
      <c s="2293"/>
      <c s="2293"/>
      <c s="2293"/>
      <c s="2104"/>
      <c s="2130"/>
      <c s="1270"/>
      <c s="1313"/>
      <c r="P49" s="2260"/>
      <c s="2260"/>
      <c s="359"/>
      <c s="1281"/>
      <c s="290" t="s">
        <v>468</v>
      </c>
      <c s="603"/>
      <c s="603"/>
      <c s="603"/>
      <c s="603"/>
      <c s="603"/>
      <c s="603"/>
      <c s="327"/>
      <c s="603"/>
      <c s="603"/>
      <c s="603"/>
      <c s="603"/>
      <c s="603"/>
      <c s="603"/>
      <c s="603"/>
      <c s="603"/>
      <c s="327"/>
      <c s="2258"/>
      <c r="AM49" s="1627"/>
      <c s="1627" t="str">
        <f>IF(T49="","",T49)</f>
        <v>Добавить строку</v>
      </c>
      <c s="1627"/>
      <c s="1627"/>
      <c s="1634">
        <v>11</v>
      </c>
    </row>
    <row r="50" spans="1:43" s="1645" customFormat="1" ht="1.05" customHeight="1">
      <c r="A50" s="1378" t="s">
        <v>206</v>
      </c>
      <c s="1378" t="s">
        <v>207</v>
      </c>
      <c s="1378" t="s">
        <v>208</v>
      </c>
      <c s="1378" t="s">
        <v>209</v>
      </c>
      <c s="2293"/>
      <c s="2293"/>
      <c s="2293"/>
      <c s="2293"/>
      <c s="2130"/>
      <c s="1378"/>
      <c s="1378"/>
      <c s="1384"/>
      <c s="1249"/>
      <c s="1249"/>
      <c s="1249"/>
      <c s="2260"/>
      <c s="1957"/>
      <c s="359"/>
      <c s="1389"/>
      <c s="1390" t="s">
        <v>412</v>
      </c>
      <c s="1391"/>
      <c s="1391"/>
      <c s="1391"/>
      <c s="1391"/>
      <c s="1391"/>
      <c s="1391"/>
      <c s="1391"/>
      <c s="1391"/>
      <c s="1391"/>
      <c s="1391"/>
      <c s="1391"/>
      <c s="1391"/>
      <c s="1391"/>
      <c s="1391"/>
      <c s="1391"/>
      <c s="1391"/>
      <c s="1392"/>
      <c r="AM50" s="1627"/>
      <c s="1627" t="str">
        <f>IF(T50="","",T50)</f>
        <v>Добавить группу потребителей</v>
      </c>
      <c s="1627"/>
      <c s="1627"/>
      <c s="1639">
        <v>1</v>
      </c>
    </row>
    <row r="51" spans="1:43" s="1644" customFormat="1" ht="1.05" customHeight="1">
      <c r="A51" s="1378" t="s">
        <v>206</v>
      </c>
      <c s="1378" t="s">
        <v>207</v>
      </c>
      <c s="1378" t="s">
        <v>208</v>
      </c>
      <c s="1378" t="s">
        <v>209</v>
      </c>
      <c s="2293"/>
      <c s="2293"/>
      <c s="2293"/>
      <c s="2292"/>
      <c s="1378"/>
      <c s="1378"/>
      <c s="1378"/>
      <c s="1384"/>
      <c s="1381"/>
      <c s="1381"/>
      <c s="354"/>
      <c s="383"/>
      <c s="1347"/>
      <c s="1403"/>
      <c s="1389"/>
      <c s="1390"/>
      <c s="1391"/>
      <c s="1391"/>
      <c s="1391"/>
      <c s="1391"/>
      <c s="1391"/>
      <c s="1391"/>
      <c s="1391"/>
      <c s="1391"/>
      <c s="1391"/>
      <c s="1391"/>
      <c s="1391"/>
      <c s="1391"/>
      <c s="1391"/>
      <c s="1391"/>
      <c s="1391"/>
      <c s="1391"/>
      <c s="1392"/>
      <c s="1639"/>
      <c s="1627"/>
      <c s="1627" t="str">
        <f>IF(T51="","",T51)</f>
        <v/>
      </c>
      <c s="1627"/>
      <c s="1627"/>
      <c s="1644">
        <v>1</v>
      </c>
    </row>
    <row r="52" spans="1:43" s="1645" customFormat="1" ht="1.05" customHeight="1">
      <c r="A52" s="1378" t="s">
        <v>206</v>
      </c>
      <c s="1378" t="s">
        <v>207</v>
      </c>
      <c s="1378" t="s">
        <v>208</v>
      </c>
      <c s="1377"/>
      <c s="2293"/>
      <c s="2293"/>
      <c s="2292"/>
      <c s="1377"/>
      <c s="1377"/>
      <c s="1377"/>
      <c s="1377"/>
      <c s="1380"/>
      <c s="1381"/>
      <c s="1381"/>
      <c s="354"/>
      <c s="1319"/>
      <c s="1320"/>
      <c s="1319"/>
      <c s="1325"/>
      <c s="1328" t="s">
        <v>414</v>
      </c>
      <c s="1327"/>
      <c s="1327"/>
      <c s="1327"/>
      <c s="1327"/>
      <c s="1327"/>
      <c s="1327"/>
      <c s="1327"/>
      <c s="1327"/>
      <c s="1327"/>
      <c s="1327"/>
      <c s="1327"/>
      <c s="1327"/>
      <c s="1327"/>
      <c s="1327"/>
      <c s="1327"/>
      <c s="1327"/>
      <c s="1327"/>
      <c r="AM52" s="1254"/>
      <c s="1254" t="str">
        <f>IF(T52="","",T52)</f>
        <v>Добавить источник для дифференциации</v>
      </c>
      <c s="1254"/>
      <c s="1254"/>
      <c s="1645">
        <v>1</v>
      </c>
    </row>
    <row r="53" spans="1:43" s="1645" customFormat="1" ht="1.05" customHeight="1">
      <c r="A53" s="1378" t="s">
        <v>206</v>
      </c>
      <c s="1378" t="s">
        <v>207</v>
      </c>
      <c s="1377"/>
      <c s="1377"/>
      <c s="2293"/>
      <c s="2292"/>
      <c s="1377"/>
      <c s="1377"/>
      <c s="1377"/>
      <c s="1377"/>
      <c s="1377"/>
      <c s="1380"/>
      <c s="1382"/>
      <c s="1382"/>
      <c s="354"/>
      <c s="1319"/>
      <c s="1320"/>
      <c s="1319"/>
      <c s="1325"/>
      <c s="1328" t="s">
        <v>415</v>
      </c>
      <c s="1327"/>
      <c s="1327"/>
      <c s="1327"/>
      <c s="1327"/>
      <c s="1327"/>
      <c s="1327"/>
      <c s="1327"/>
      <c s="1327"/>
      <c s="1327"/>
      <c s="1327"/>
      <c s="1327"/>
      <c s="1327"/>
      <c s="1327"/>
      <c s="1327"/>
      <c s="1327"/>
      <c s="1327"/>
      <c s="1327"/>
      <c r="AM53" s="1254"/>
      <c s="1254" t="str">
        <f>IF(T53="","",T53)</f>
        <v>Добавить централизованную систему для дифференциации</v>
      </c>
      <c s="1254"/>
      <c s="1254"/>
      <c s="1645">
        <v>1</v>
      </c>
    </row>
    <row r="54" spans="1:43" s="1645" customFormat="1" ht="1.05" customHeight="1">
      <c r="A54" s="1378" t="s">
        <v>206</v>
      </c>
      <c s="1378"/>
      <c s="1378"/>
      <c s="1378"/>
      <c s="2293"/>
      <c s="1378"/>
      <c s="1378"/>
      <c s="1378"/>
      <c s="1378"/>
      <c s="1378"/>
      <c s="1378"/>
      <c s="1384"/>
      <c s="1382"/>
      <c s="1382"/>
      <c s="354"/>
      <c s="383"/>
      <c s="1347"/>
      <c s="383"/>
      <c s="1325"/>
      <c s="1328" t="s">
        <v>416</v>
      </c>
      <c s="1327"/>
      <c s="1327"/>
      <c s="1327"/>
      <c s="1327"/>
      <c s="1327"/>
      <c s="1327"/>
      <c s="1327"/>
      <c s="1327"/>
      <c s="1327"/>
      <c s="1327"/>
      <c s="1327"/>
      <c s="1327"/>
      <c s="1327"/>
      <c s="1327"/>
      <c s="1327"/>
      <c s="1327"/>
      <c s="1327"/>
      <c r="AM54" s="1627"/>
      <c s="1627" t="str">
        <f>IF(T54="","",T54)</f>
        <v>Добавить территорию для дифференциации</v>
      </c>
      <c s="1627"/>
      <c s="1627"/>
      <c s="1639">
        <v>1</v>
      </c>
    </row>
    <row r="55" spans="1:43" s="1645" customFormat="1" ht="1.05" customHeight="1">
      <c r="A55" s="1378" t="s">
        <v>206</v>
      </c>
      <c s="1378"/>
      <c s="1378"/>
      <c s="1378"/>
      <c s="2292"/>
      <c s="1378"/>
      <c s="1378"/>
      <c s="1378"/>
      <c s="1378"/>
      <c s="1378"/>
      <c s="1378"/>
      <c s="1384"/>
      <c s="1382"/>
      <c s="1382"/>
      <c s="354"/>
      <c s="383"/>
      <c s="1347"/>
      <c s="383"/>
      <c s="1325"/>
      <c s="1328" t="s">
        <v>416</v>
      </c>
      <c s="1327"/>
      <c s="1327"/>
      <c s="1327"/>
      <c s="1327"/>
      <c s="1327"/>
      <c s="1327"/>
      <c s="1327"/>
      <c s="1327"/>
      <c s="1327"/>
      <c s="1327"/>
      <c s="1327"/>
      <c s="1327"/>
      <c s="1327"/>
      <c s="1327"/>
      <c s="1327"/>
      <c s="1327"/>
      <c s="1327"/>
      <c r="AM55" s="1627"/>
      <c s="1627" t="str">
        <f>IF(T55="","",T55)</f>
        <v>Добавить территорию для дифференциации</v>
      </c>
      <c s="1627"/>
      <c s="1627"/>
      <c s="1639">
        <v>1</v>
      </c>
    </row>
    <row r="56" spans="1:43" s="1645" customFormat="1" ht="1.05" customHeight="1">
      <c r="A56" s="1377"/>
      <c s="1377"/>
      <c s="1377"/>
      <c s="1377"/>
      <c s="1378"/>
      <c s="1377"/>
      <c s="1377"/>
      <c s="1377"/>
      <c s="1377"/>
      <c s="1377"/>
      <c s="1377"/>
      <c s="1380"/>
      <c s="1382"/>
      <c s="1382"/>
      <c s="354"/>
      <c s="1319"/>
      <c s="1320"/>
      <c s="1319"/>
      <c s="1325"/>
      <c s="1328" t="s">
        <v>448</v>
      </c>
      <c s="1327"/>
      <c s="1327"/>
      <c s="1327"/>
      <c s="1327"/>
      <c s="1327"/>
      <c s="1327"/>
      <c s="1327"/>
      <c s="1327"/>
      <c s="1327"/>
      <c s="1327"/>
      <c s="1327"/>
      <c s="1327"/>
      <c s="1327"/>
      <c s="1327"/>
      <c s="1327"/>
      <c s="1327"/>
      <c s="1327"/>
      <c r="AM56" s="1254"/>
      <c s="1254" t="str">
        <f>IF(T56="","",T56)</f>
        <v>Добавить наименование тарифа</v>
      </c>
      <c s="1254"/>
      <c s="1254"/>
      <c s="1645">
        <v>1</v>
      </c>
    </row>
    <row r="57" spans="13:43" ht="11.55" customHeight="1">
      <c r="M57" s="1634"/>
      <c s="1634"/>
      <c s="1638"/>
      <c s="1369"/>
      <c s="1369"/>
      <c s="1634"/>
      <c s="1634"/>
      <c r="AL57" s="1634"/>
      <c s="1634"/>
      <c s="1634"/>
      <c s="1634"/>
      <c s="1634"/>
      <c s="1634">
        <v>11</v>
      </c>
    </row>
    <row r="58" spans="15:43" ht="19.95" customHeight="1">
      <c r="O58" s="1638"/>
      <c r="S58" s="1256"/>
      <c s="2288"/>
      <c s="2288"/>
      <c s="2288"/>
      <c s="2288"/>
      <c s="2288"/>
      <c s="2288"/>
      <c s="2288"/>
      <c s="2288"/>
      <c s="2288"/>
      <c s="2288"/>
      <c s="2288"/>
      <c s="2288"/>
      <c s="2288"/>
      <c s="2288"/>
      <c s="2288"/>
      <c s="2288"/>
      <c s="2288"/>
      <c s="2288"/>
      <c r="AQ58" s="1634">
        <v>19</v>
      </c>
    </row>
    <row r="59" spans="15:43" ht="21" customHeight="1">
      <c r="O59" s="1638"/>
      <c r="T59" s="2288"/>
      <c s="2288"/>
      <c s="2288"/>
      <c s="2288"/>
      <c s="2288"/>
      <c s="2288"/>
      <c s="2288"/>
      <c s="2288"/>
      <c s="2288"/>
      <c s="2288"/>
      <c s="2288"/>
      <c s="2288"/>
      <c s="2288"/>
      <c s="2288"/>
      <c s="2288"/>
      <c s="2288"/>
      <c s="2288"/>
      <c s="2288"/>
      <c r="AQ59" s="1634">
        <v>20</v>
      </c>
    </row>
    <row r="60" spans="15:43" ht="14.7" customHeight="1">
      <c r="O60" s="1638"/>
      <c r="T60" s="1956"/>
      <c s="1956"/>
      <c s="1956"/>
      <c s="1956"/>
      <c s="1956"/>
      <c s="1956"/>
      <c s="1956"/>
      <c s="1956"/>
      <c s="1956"/>
      <c s="1956"/>
      <c s="1956"/>
      <c s="1956"/>
      <c s="1956"/>
      <c s="1956"/>
      <c s="1956"/>
      <c s="1956"/>
      <c s="1956"/>
      <c s="1956"/>
      <c r="AQ60" s="1634">
        <v>14</v>
      </c>
    </row>
    <row r="61" spans="15:43" ht="19.95" customHeight="1">
      <c r="O61" s="1638"/>
      <c r="T61" s="2288"/>
      <c s="2288"/>
      <c s="2288"/>
      <c s="2288"/>
      <c s="2288"/>
      <c s="2288"/>
      <c s="2288"/>
      <c s="2288"/>
      <c s="2288"/>
      <c s="2288"/>
      <c s="2288"/>
      <c s="2288"/>
      <c s="2288"/>
      <c s="2288"/>
      <c s="2288"/>
      <c s="2288"/>
      <c s="2288"/>
      <c s="2288"/>
      <c r="AQ61" s="1634">
        <v>19</v>
      </c>
    </row>
    <row r="62" spans="15:43" ht="16.8" customHeight="1">
      <c r="O62" s="1638"/>
      <c r="T62" s="2288"/>
      <c s="2288"/>
      <c s="2288"/>
      <c s="2288"/>
      <c s="2288"/>
      <c s="2288"/>
      <c s="2288"/>
      <c s="2288"/>
      <c s="2288"/>
      <c s="2288"/>
      <c s="2288"/>
      <c s="2288"/>
      <c s="2288"/>
      <c s="2288"/>
      <c s="2288"/>
      <c s="2288"/>
      <c s="2288"/>
      <c s="2288"/>
      <c r="AQ62" s="1634">
        <v>16</v>
      </c>
    </row>
    <row r="63" spans="15:43" ht="14.7" customHeight="1">
      <c r="O63" s="1638"/>
      <c r="AQ63" s="1634">
        <v>14</v>
      </c>
    </row>
    <row r="64" spans="1:43" ht="22.5" customHeight="1" hidden="1">
      <c r="A64" s="1634" t="s">
        <v>81</v>
      </c>
      <c s="1634">
        <v>0</v>
      </c>
      <c s="1634">
        <v>0</v>
      </c>
      <c s="1634">
        <v>0</v>
      </c>
      <c s="1634">
        <v>0</v>
      </c>
      <c s="1634">
        <v>0</v>
      </c>
      <c s="1634">
        <v>0</v>
      </c>
      <c s="1634">
        <v>0</v>
      </c>
      <c s="1634">
        <v>0</v>
      </c>
      <c s="1634">
        <v>0</v>
      </c>
      <c s="1634">
        <v>0</v>
      </c>
      <c s="1942">
        <v>0</v>
      </c>
      <c s="1968">
        <v>0</v>
      </c>
      <c s="1968">
        <v>0</v>
      </c>
      <c s="1968">
        <v>0</v>
      </c>
      <c s="1365">
        <v>3</v>
      </c>
      <c s="1374">
        <v>3</v>
      </c>
      <c s="347">
        <v>3</v>
      </c>
      <c s="584">
        <v>12</v>
      </c>
      <c s="1634">
        <v>31</v>
      </c>
      <c s="1634">
        <v>0</v>
      </c>
      <c s="1634">
        <v>0</v>
      </c>
      <c s="1634">
        <v>0</v>
      </c>
      <c s="1634">
        <v>0</v>
      </c>
      <c s="1634">
        <v>0</v>
      </c>
      <c s="1634">
        <v>0</v>
      </c>
      <c s="1634">
        <v>0</v>
      </c>
      <c s="1634">
        <v>27</v>
      </c>
      <c s="1634">
        <v>24</v>
      </c>
      <c s="1634">
        <v>21</v>
      </c>
      <c s="1634">
        <v>21</v>
      </c>
      <c s="1634">
        <v>11</v>
      </c>
      <c s="1634">
        <v>3</v>
      </c>
      <c s="1634">
        <v>11</v>
      </c>
      <c s="1634">
        <v>8</v>
      </c>
      <c s="1634">
        <v>4</v>
      </c>
      <c s="1634">
        <v>115</v>
      </c>
      <c s="1639">
        <v>10</v>
      </c>
      <c s="1639">
        <v>10</v>
      </c>
      <c s="1639">
        <v>10</v>
      </c>
      <c s="1639">
        <v>10</v>
      </c>
      <c s="1639">
        <v>10</v>
      </c>
      <c s="1634">
        <v>23</v>
      </c>
    </row>
  </sheetData>
  <sheetProtection insertRows="0" deleteColumns="0" deleteRows="0" sort="0" autoFilter="0"/>
  <mergeCells count="89">
    <mergeCell ref="V38:W38"/>
    <mergeCell ref="V39:W39"/>
    <mergeCell ref="E2:E14"/>
    <mergeCell ref="V2:AA2"/>
    <mergeCell ref="AC2:AJ2"/>
    <mergeCell ref="F3:F13"/>
    <mergeCell ref="V3:AA3"/>
    <mergeCell ref="AC3:AJ3"/>
    <mergeCell ref="G4:G12"/>
    <mergeCell ref="V4:AA4"/>
    <mergeCell ref="AC4:AJ4"/>
    <mergeCell ref="H5:H11"/>
    <mergeCell ref="V5:AA5"/>
    <mergeCell ref="AC5:AJ5"/>
    <mergeCell ref="I6:I10"/>
    <mergeCell ref="P6:P10"/>
    <mergeCell ref="V6:AA6"/>
    <mergeCell ref="AC6:AJ6"/>
    <mergeCell ref="J7:J9"/>
    <mergeCell ref="Q7:Q9"/>
    <mergeCell ref="V7:AA7"/>
    <mergeCell ref="AC7:AJ7"/>
    <mergeCell ref="AK8:AK9"/>
    <mergeCell ref="S24:AH24"/>
    <mergeCell ref="S27:T27"/>
    <mergeCell ref="V27:Z27"/>
    <mergeCell ref="AC27:AH27"/>
    <mergeCell ref="S25:AH25"/>
    <mergeCell ref="S28:T28"/>
    <mergeCell ref="V28:Z28"/>
    <mergeCell ref="AC28:AH28"/>
    <mergeCell ref="S29:T29"/>
    <mergeCell ref="V29:Z29"/>
    <mergeCell ref="AC29:AH29"/>
    <mergeCell ref="S30:T30"/>
    <mergeCell ref="V30:Z30"/>
    <mergeCell ref="AC30:AH30"/>
    <mergeCell ref="S32:T32"/>
    <mergeCell ref="V32:Z32"/>
    <mergeCell ref="AC32:AH32"/>
    <mergeCell ref="S33:T33"/>
    <mergeCell ref="V33:Z33"/>
    <mergeCell ref="AC33:AH33"/>
    <mergeCell ref="V35:AA35"/>
    <mergeCell ref="AC35:AI35"/>
    <mergeCell ref="S36:AJ36"/>
    <mergeCell ref="AK36:AK40"/>
    <mergeCell ref="S37:S40"/>
    <mergeCell ref="T37:T40"/>
    <mergeCell ref="V37:Z37"/>
    <mergeCell ref="AA37:AA40"/>
    <mergeCell ref="AB37:AB40"/>
    <mergeCell ref="AC37:AC40"/>
    <mergeCell ref="AD37:AH37"/>
    <mergeCell ref="AI37:AI40"/>
    <mergeCell ref="AJ37:AJ40"/>
    <mergeCell ref="X38:Z39"/>
    <mergeCell ref="AD38:AE38"/>
    <mergeCell ref="AF38:AH39"/>
    <mergeCell ref="AD39:AE39"/>
    <mergeCell ref="Y40:Z40"/>
    <mergeCell ref="AG40:AH40"/>
    <mergeCell ref="Y41:Z41"/>
    <mergeCell ref="AG41:AH41"/>
    <mergeCell ref="E42:E55"/>
    <mergeCell ref="V42:AA42"/>
    <mergeCell ref="AC42:AJ42"/>
    <mergeCell ref="F43:F53"/>
    <mergeCell ref="V43:AA43"/>
    <mergeCell ref="AC43:AJ43"/>
    <mergeCell ref="G44:G52"/>
    <mergeCell ref="V44:AA44"/>
    <mergeCell ref="AC44:AJ44"/>
    <mergeCell ref="H45:H51"/>
    <mergeCell ref="V45:AA45"/>
    <mergeCell ref="AC45:AJ45"/>
    <mergeCell ref="I46:I50"/>
    <mergeCell ref="P46:P50"/>
    <mergeCell ref="V46:AA46"/>
    <mergeCell ref="AC46:AJ46"/>
    <mergeCell ref="J47:J49"/>
    <mergeCell ref="Q47:Q49"/>
    <mergeCell ref="T62:AK62"/>
    <mergeCell ref="V47:AA47"/>
    <mergeCell ref="AC47:AJ47"/>
    <mergeCell ref="AK48:AK49"/>
    <mergeCell ref="T58:AK58"/>
    <mergeCell ref="T59:AK59"/>
    <mergeCell ref="T61:AK61"/>
  </mergeCells>
  <dataValidations count="11">
    <dataValidation allowBlank="1" errorTitle="Ошибка" error="Выберите значение из списка" sqref="V39:W39"/>
    <dataValidation type="list" allowBlank="1" showInputMessage="1" showErrorMessage="1" prompt="Выберите значение из списка" errorTitle="Ошибка" error="Выберите значение из списка" sqref="AD39:AE39">
      <formula1>UNIT_CONNECT_LIST</formula1>
    </dataValidation>
    <dataValidation type="list" allowBlank="1" showInputMessage="1" showErrorMessage="1" errorTitle="Ошибка" error="Выберите значение из списка" sqref="T65584 T131120 T196656 T262192 T327728 T393264 T458800 T524336 T589872 T655408 T720944 T786480 T852016 T917552 T983088">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8 X65584 X131120 X196656 X262192 X327728 X393264 X458800 X524336 X589872 X655408 X720944 X786480 X852016 X917552 X983088 Z65584 Z131120 Z196656 Z262192 Z327728 Z393264 Z458800 Z524336 Z589872 Z655408 Z720944 Z786480 Z852016 Z917552 Z983088 Z8 AF65584 AF131120 AF196656 AF262192 AF327728 AF393264 AF458800 AF524336 AF589872 AF655408 AF720944 AF786480 AF852016 AF917552 AF983088 AH65584 AH131120 AH196656 AH262192 AH327728 AH393264 AH458800 AH524336 AH589872 AH655408 AH720944 AH786480 AH852016 AH917552 AH983088 AH8 AH48 AH16 AF16 AF8 AF48 Z48 X48"/>
    <dataValidation allowBlank="1" promptTitle="checkPeriodRange" sqref="W65585 W131121 W196657 W262193 W327729 W393265 W458801 W524337 W589873 W655409 W720945 W786481 W852017 W917553 W983089 AE65585 AE131121 AE196657 AE262193 AE327729 AE393265 AE458801 AE524337 AE589873 AE655409 AE720945 AE786481 AE852017 AE917553 AE983089"/>
    <dataValidation type="textLength" operator="lessThanOrEqual" allowBlank="1" showInputMessage="1" showErrorMessage="1" errorTitle="Ошибка" error="Допускается ввод не более 900 символов!" sqref="T8 AK65578:AK65585 AK131114:AK131121 AK196650:AK196657 AK262186:AK262193 AK327722:AK327729 AK393258:AK393265 AK458794:AK458801 AK524330:AK524337 AK589866:AK589873 AK655402:AK655409 AK720938:AK720945 AK786474:AK786481 AK852010:AK852017 AK917546:AK917553 AK983082:AK983089 T48 AB48 AB8">
      <formula1>900</formula1>
    </dataValidation>
    <dataValidation allowBlank="1" showInputMessage="1" showErrorMessage="1" prompt="Для выбора выполните двойной щелчок левой клавиши мыши по соответствующей ячейке." sqref="Y8 Y65584 Y131120 Y196656 Y262192 Y327728 Y393264 Y458800 Y524336 Y589872 Y655408 Y720944 Y786480 Y852016 Y917552 Y983088 AA131120:AB131120 AA458800:AB458800 AA196656:AB196656 AA262192:AB262192 AA327728:AB327728 AA393264:AB393264 AA524336:AB524336 AA589872:AB589872 AA655408:AB655408 AA720944:AB720944 AA786480:AB786480 AA852016:AB852016 AA917552:AB917552 AA983088:AB983088 AA65584:AB65584 AG48 AG65584 AG131120 AG196656 AG262192 AG327728 AG393264 AG458800 AG524336 AG589872 AG655408 AG720944 AG786480 AG852016 AG917552 AG983088 AI131120 AI458800 AI196656 AI262192 AI327728 AI393264 AI524336 AI589872 AI655408 AI720944 AI786480 AI852016 AI917552 AI983088 AI65584 AG8 AA48 AG16 AI48 AI16 AC16 Y48 AI8 AA8"/>
    <dataValidation type="list" allowBlank="1" showInputMessage="1" showErrorMessage="1" errorTitle="Ошибка" error="Выберите значение из списка" sqref="AC65582 AC983086 AC917550 AC852014 AC786478 AC720942 AC655406 AC589870 AC524334 AC458798 AC393262 AC327726 AC262190 AC196654 AC131118">
      <formula1>kind_of_scheme_in</formula1>
    </dataValidation>
    <dataValidation type="list" allowBlank="1" showInputMessage="1" prompt="Выберите значение из списка" errorTitle="Ошибка" error="Выберите значение из списка" sqref="V65583:AJ65583 V917551:AJ917551 V983087:AJ983087 V131119:AJ131119 V196655:AJ196655 V262191:AJ262191 V327727:AJ327727 V393263:AJ393263 V458799:AJ458799 V524335:AJ524335 V589871:AJ589871 V655407:AJ655407 V720943:AJ720943 V786479:AJ786479 V852015:AJ852015">
      <formula1>kind_of_cons</formula1>
    </dataValidation>
    <dataValidation allowBlank="1" sqref="S65586:AK65592 S131122:AK131128 S196658:AK196664 S262194:AK262200 S327730:AK327736 S393266:AK393272 S458802:AK458808 S524338:AK524344 S589874:AK589880 S655410:AK655416 S720946:AK720952 S786482:AK786488 S852018:AK852024 S917554:AK917560 S983090:AK983096"/>
    <dataValidation type="decimal" allowBlank="1" showErrorMessage="1" errorTitle="Ошибка" error="Допускается ввод только действительных чисел!" sqref="AC8 AC48">
      <formula1>-0999999999999999000000000</formula1>
      <formula2>9.99999999999999E+23</formula2>
    </dataValidation>
  </dataValidations>
  <pageMargins left="0.7" right="0.7" top="0.75" bottom="0.75" header="0.3" footer="0.3"/>
  <pageSetup orientation="portrait"/>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m="http://schemas.microsoft.com/office/excel/2006/main" xmlns:x14ac="http://schemas.microsoft.com/office/spreadsheetml/2009/9/ac" xmlns:xr="http://schemas.microsoft.com/office/spreadsheetml/2014/revision" xmlns:xr2="http://schemas.microsoft.com/office/spreadsheetml/2015/revision2" xmlns:xr3="http://schemas.microsoft.com/office/spreadsheetml/2016/revision3" xr:uid="{79871691-7F31-3624-E7B6-9E902B4536EA}" mc:Ignorable="x14ac xr xr2 xr3">
  <sheetPr>
    <tabColor theme="6" tint="0.400000005960464"/>
  </sheetPr>
  <dimension ref="A1:BI69"/>
  <sheetViews>
    <sheetView showGridLines="0" zoomScale="90" zoomScaleNormal="90" workbookViewId="0" topLeftCell="A1">
      <pane xSplit="29" ySplit="45" topLeftCell="AD46" activePane="bottomRight" state="frozen"/>
      <selection pane="topLeft" activeCell="A1" sqref="A1"/>
      <selection pane="bottomLeft" activeCell="A46" sqref="A46"/>
      <selection pane="topRight" activeCell="AD1" sqref="AD1"/>
      <selection pane="bottomRight" activeCell="A1" sqref="A1"/>
    </sheetView>
  </sheetViews>
  <sheetFormatPr defaultColWidth="10.5742857142857" defaultRowHeight="14.25" customHeight="1"/>
  <cols>
    <col min="1" max="1" width="11.5714285714286" style="1369" hidden="1" customWidth="1"/>
    <col min="2" max="2" width="11" style="1369" hidden="1" customWidth="1"/>
    <col min="3" max="3" width="10.5714285714286" style="1369" hidden="1"/>
    <col min="4" max="4" width="12.8571428571429" style="1369" hidden="1" customWidth="1"/>
    <col min="5" max="5" width="10" style="1369" hidden="1" customWidth="1"/>
    <col min="6" max="6" width="8.71428571428571" style="1369" hidden="1" customWidth="1"/>
    <col min="7" max="7" width="7.57142857142857" style="1369" hidden="1" customWidth="1"/>
    <col min="8" max="8" width="11.4285714285714" style="1369" hidden="1" customWidth="1"/>
    <col min="9" max="9" width="12" style="1369" hidden="1" customWidth="1"/>
    <col min="10" max="10" width="9.85714285714286" style="1369" hidden="1" customWidth="1"/>
    <col min="11" max="11" width="11.4285714285714" style="1369" hidden="1" customWidth="1"/>
    <col min="12" max="12" width="19.1428571428571" style="2610" hidden="1" customWidth="1"/>
    <col min="13" max="14" width="12.2857142857143" style="1779" hidden="1" customWidth="1"/>
    <col min="15" max="15" width="23.4285714285714" style="1779" hidden="1" customWidth="1"/>
    <col min="16" max="16" width="3.71428571428571" style="1779" hidden="1" customWidth="1"/>
    <col min="17" max="17" width="3.71428571428571" style="1374" hidden="1" customWidth="1"/>
    <col min="18" max="18" width="3" style="347" customWidth="1"/>
    <col min="19" max="19" width="12" style="2410" customWidth="1"/>
    <col min="20" max="20" width="31" style="1638" customWidth="1"/>
    <col min="21" max="21" width="0.142857142857143" style="1638" customWidth="1"/>
    <col min="22" max="25" width="21.7142857142857" style="1638" hidden="1" customWidth="1"/>
    <col min="26" max="26" width="11.7142857142857" style="1638" hidden="1" customWidth="1"/>
    <col min="27" max="27" width="3.71428571428571" style="1638" hidden="1" customWidth="1"/>
    <col min="28" max="28" width="11.7142857142857" style="1638" hidden="1" customWidth="1"/>
    <col min="29" max="29" width="8.57142857142857" style="1638" hidden="1" customWidth="1"/>
    <col min="30" max="30" width="3.71428571428571" style="1638" customWidth="1"/>
    <col min="31" max="32" width="3" style="1638" customWidth="1"/>
    <col min="33" max="33" width="24" style="1638" customWidth="1"/>
    <col min="34" max="34" width="3.71428571428571" style="1638" customWidth="1"/>
    <col min="35" max="36" width="3" style="1638" customWidth="1"/>
    <col min="37" max="37" width="24" style="1638" customWidth="1"/>
    <col min="38" max="38" width="3.71428571428571" style="1638" customWidth="1"/>
    <col min="39" max="40" width="3" style="1638" customWidth="1"/>
    <col min="41" max="41" width="18" style="1638" customWidth="1"/>
    <col min="42" max="42" width="3.71428571428571" style="1638" customWidth="1"/>
    <col min="43" max="44" width="3" style="1638" customWidth="1"/>
    <col min="45" max="45" width="18" style="1638" customWidth="1"/>
    <col min="46" max="49" width="21" style="1638" customWidth="1"/>
    <col min="50" max="50" width="11" style="1638" customWidth="1"/>
    <col min="51" max="51" width="3.71428571428571" style="1638" customWidth="1"/>
    <col min="52" max="52" width="11" style="1638" customWidth="1"/>
    <col min="53" max="53" width="8.57142857142857" style="1638" hidden="1" customWidth="1"/>
    <col min="54" max="54" width="4" style="1638" customWidth="1"/>
    <col min="55" max="55" width="115" style="1638" customWidth="1"/>
    <col min="56" max="60" width="10" style="1645" customWidth="1"/>
    <col min="61" max="61" width="10.5714285714286" style="1638" hidden="1"/>
  </cols>
  <sheetData>
    <row r="1" spans="23:61" ht="22.5" customHeight="1" hidden="1">
      <c r="W1" s="330"/>
      <c r="Y1" s="330"/>
      <c s="330"/>
      <c r="AW1" s="330"/>
      <c s="330"/>
      <c r="BI1" s="1158" t="s">
        <v>14</v>
      </c>
    </row>
    <row r="2" spans="1:61" ht="21" customHeight="1" hidden="1">
      <c r="A2" s="1366"/>
      <c s="1366"/>
      <c s="1366"/>
      <c s="1366"/>
      <c s="2261">
        <v>1</v>
      </c>
      <c s="1366"/>
      <c s="1366"/>
      <c s="1366"/>
      <c s="1366"/>
      <c s="1366"/>
      <c s="1366"/>
      <c s="1367"/>
      <c s="1368"/>
      <c s="1368"/>
      <c s="1368"/>
      <c s="1412"/>
      <c s="876"/>
      <c s="358"/>
      <c s="1468">
        <f>INDEX(PT_DIFFERENTIATION_NUM_NTAR,MATCH(A2,PT_DIFFERENTIATION_NTAR_ID,0))</f>
      </c>
      <c s="301" t="s">
        <v>125</v>
      </c>
      <c s="303"/>
      <c s="2246"/>
      <c s="2246"/>
      <c s="2246"/>
      <c s="2246"/>
      <c s="2246"/>
      <c s="2246"/>
      <c s="2246"/>
      <c s="2247"/>
      <c s="2245">
        <f>INDEX(PT_DIFFERENTIATION_NTAR,MATCH(A2,PT_DIFFERENTIATION_NTAR_ID,0))</f>
      </c>
      <c s="2246"/>
      <c s="2246"/>
      <c s="2246"/>
      <c s="2246"/>
      <c s="2246"/>
      <c s="2246"/>
      <c s="2246"/>
      <c s="2246"/>
      <c s="2246"/>
      <c s="2246"/>
      <c s="2246"/>
      <c s="2246"/>
      <c s="2246"/>
      <c s="2246"/>
      <c s="2246"/>
      <c s="2246"/>
      <c s="2246"/>
      <c s="2246"/>
      <c s="2246"/>
      <c s="2246"/>
      <c s="2246"/>
      <c s="2246"/>
      <c s="2246"/>
      <c s="2247"/>
      <c s="126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503"/>
      <c s="503" t="str">
        <f>IF(T2="","",T2)</f>
        <v>Наименование тарифа</v>
      </c>
      <c s="503"/>
      <c s="503"/>
      <c s="1158">
        <v>0</v>
      </c>
    </row>
    <row r="3" spans="1:61" ht="21" customHeight="1" hidden="1">
      <c r="A3" s="1366"/>
      <c s="1366"/>
      <c s="1366"/>
      <c s="1366"/>
      <c s="2262"/>
      <c s="2261">
        <v>1</v>
      </c>
      <c s="1366"/>
      <c s="1366"/>
      <c s="1366"/>
      <c s="1366"/>
      <c s="1366"/>
      <c s="1367"/>
      <c s="1368"/>
      <c s="1368"/>
      <c s="1368"/>
      <c s="1413"/>
      <c s="1414"/>
      <c s="356"/>
      <c s="1468">
        <f>INDEX(PT_DIFFERENTIATION_NUM_TER,MATCH(B3,PT_DIFFERENTIATION_TER_ID,0))</f>
      </c>
      <c s="311" t="s">
        <v>397</v>
      </c>
      <c s="303"/>
      <c s="2246"/>
      <c s="2246"/>
      <c s="2246"/>
      <c s="2246"/>
      <c s="2246"/>
      <c s="2246"/>
      <c s="2246"/>
      <c s="2247"/>
      <c s="2245">
        <f>INDEX(PT_DIFFERENTIATION_TER,MATCH(B3,PT_DIFFERENTIATION_TER_ID,0))</f>
      </c>
      <c s="2246"/>
      <c s="2246"/>
      <c s="2246"/>
      <c s="2246"/>
      <c s="2246"/>
      <c s="2246"/>
      <c s="2246"/>
      <c s="2246"/>
      <c s="2246"/>
      <c s="2246"/>
      <c s="2246"/>
      <c s="2246"/>
      <c s="2246"/>
      <c s="2246"/>
      <c s="2246"/>
      <c s="2246"/>
      <c s="2246"/>
      <c s="2246"/>
      <c s="2246"/>
      <c s="2246"/>
      <c s="2246"/>
      <c s="2246"/>
      <c s="2246"/>
      <c s="2247"/>
      <c s="1261" t="s">
        <v>398</v>
      </c>
      <c r="BE3" s="503"/>
      <c s="503" t="str">
        <f>IF(T3="","",T3)</f>
        <v>Территория действия тарифа</v>
      </c>
      <c s="503"/>
      <c s="503"/>
      <c s="1158">
        <v>0</v>
      </c>
    </row>
    <row r="4" spans="1:61" ht="42" customHeight="1" hidden="1">
      <c r="A4" s="1366"/>
      <c s="1366"/>
      <c s="1366"/>
      <c s="1366"/>
      <c s="2262"/>
      <c s="2262"/>
      <c s="2261">
        <v>1</v>
      </c>
      <c s="1366"/>
      <c s="1366"/>
      <c s="1366"/>
      <c s="1366"/>
      <c s="1367"/>
      <c s="1368"/>
      <c s="1368"/>
      <c s="1368"/>
      <c s="1415"/>
      <c s="1414"/>
      <c s="356"/>
      <c s="1468">
        <f>INDEX(PT_DIFFERENTIATION_NUM_CS,MATCH(C4,PT_DIFFERENTIATION_CS_ID,0))</f>
      </c>
      <c s="312" t="s">
        <v>481</v>
      </c>
      <c s="303"/>
      <c s="2246"/>
      <c s="2246"/>
      <c s="2246"/>
      <c s="2246"/>
      <c s="2246"/>
      <c s="2246"/>
      <c s="2246"/>
      <c s="2247"/>
      <c s="2245">
        <f>INDEX(PT_DIFFERENTIATION_CS,MATCH(C4,PT_DIFFERENTIATION_CS_ID,0))</f>
      </c>
      <c s="2246"/>
      <c s="2246"/>
      <c s="2246"/>
      <c s="2246"/>
      <c s="2246"/>
      <c s="2246"/>
      <c s="2246"/>
      <c s="2246"/>
      <c s="2246"/>
      <c s="2246"/>
      <c s="2246"/>
      <c s="2246"/>
      <c s="2246"/>
      <c s="2246"/>
      <c s="2246"/>
      <c s="2246"/>
      <c s="2246"/>
      <c s="2246"/>
      <c s="2246"/>
      <c s="2246"/>
      <c s="2246"/>
      <c s="2246"/>
      <c s="2246"/>
      <c s="2247"/>
      <c s="1261" t="s">
        <v>482</v>
      </c>
      <c r="BE4" s="503"/>
      <c s="503" t="str">
        <f>IF(T4="","",T4)</f>
        <v>Наименование централизованной системы холодного водоснабжения</v>
      </c>
      <c s="503"/>
      <c s="503"/>
      <c s="1158">
        <v>0</v>
      </c>
    </row>
    <row r="5" spans="1:61" s="1645" customFormat="1" ht="14.25" customHeight="1" hidden="1">
      <c r="A5" s="1346"/>
      <c s="1346"/>
      <c s="1346"/>
      <c s="1346"/>
      <c s="2262"/>
      <c s="2262"/>
      <c s="2262"/>
      <c s="2261">
        <v>1</v>
      </c>
      <c s="1346"/>
      <c s="1346"/>
      <c s="1346"/>
      <c s="1349"/>
      <c s="1318"/>
      <c s="1318"/>
      <c s="1318"/>
      <c s="1500"/>
      <c s="1501"/>
      <c s="360"/>
      <c s="1045"/>
      <c s="1502"/>
      <c s="1387"/>
      <c s="2300"/>
      <c s="2300"/>
      <c s="2300"/>
      <c s="2300"/>
      <c s="2300"/>
      <c s="2300"/>
      <c s="2300"/>
      <c s="2301"/>
      <c s="2299"/>
      <c s="2300"/>
      <c s="2300"/>
      <c s="2300"/>
      <c s="2300"/>
      <c s="2300"/>
      <c s="2300"/>
      <c s="2300"/>
      <c s="2300"/>
      <c s="2300"/>
      <c s="2300"/>
      <c s="2300"/>
      <c s="2300"/>
      <c s="2300"/>
      <c s="2300"/>
      <c s="2300"/>
      <c s="2300"/>
      <c s="2300"/>
      <c s="2300"/>
      <c s="2300"/>
      <c s="2300"/>
      <c s="2300"/>
      <c s="2300"/>
      <c s="2300"/>
      <c s="2301"/>
      <c s="1388" t="s">
        <v>402</v>
      </c>
      <c r="BE5" s="503"/>
      <c s="503" t="str">
        <f>IF(T5="","",T5)</f>
        <v/>
      </c>
      <c s="503"/>
      <c s="503"/>
      <c s="514">
        <v>0</v>
      </c>
    </row>
    <row r="6" spans="1:61" s="1645" customFormat="1" ht="14.25" customHeight="1" hidden="1">
      <c r="A6" s="1346"/>
      <c s="1346"/>
      <c s="1346"/>
      <c s="1346"/>
      <c s="2262"/>
      <c s="2262"/>
      <c s="2262"/>
      <c s="2262"/>
      <c s="2259" t="str">
        <f>S5&amp;".1"</f>
        <v>.1</v>
      </c>
      <c s="1346"/>
      <c s="1346"/>
      <c s="1349" t="s">
        <v>403</v>
      </c>
      <c s="513"/>
      <c s="513"/>
      <c s="513"/>
      <c s="2260">
        <v>1</v>
      </c>
      <c s="1465"/>
      <c s="359"/>
      <c s="1045"/>
      <c s="1386"/>
      <c s="1387"/>
      <c s="2300"/>
      <c s="2300"/>
      <c s="2300"/>
      <c s="2300"/>
      <c s="2300"/>
      <c s="2300"/>
      <c s="2300"/>
      <c s="2301"/>
      <c s="2299"/>
      <c s="2300"/>
      <c s="2300"/>
      <c s="2300"/>
      <c s="2300"/>
      <c s="2300"/>
      <c s="2300"/>
      <c s="2300"/>
      <c s="2300"/>
      <c s="2300"/>
      <c s="2300"/>
      <c s="2300"/>
      <c s="2300"/>
      <c s="2300"/>
      <c s="2300"/>
      <c s="2300"/>
      <c s="2300"/>
      <c s="2300"/>
      <c s="2300"/>
      <c s="2300"/>
      <c s="2300"/>
      <c s="2300"/>
      <c s="2300"/>
      <c s="2300"/>
      <c s="2301"/>
      <c s="1388"/>
      <c r="BE6" s="503"/>
      <c s="503" t="str">
        <f>IF(T6="","",T6)</f>
        <v/>
      </c>
      <c s="503"/>
      <c s="503"/>
      <c s="514">
        <v>0</v>
      </c>
    </row>
    <row r="7" spans="1:61" s="1645" customFormat="1" ht="14.25" customHeight="1" hidden="1">
      <c r="A7" s="1346"/>
      <c s="1346"/>
      <c s="1346"/>
      <c s="1346"/>
      <c s="2262"/>
      <c s="2262"/>
      <c s="2262"/>
      <c s="2262"/>
      <c s="2289"/>
      <c s="2259" t="str">
        <f>S5&amp;".1"</f>
        <v>.1</v>
      </c>
      <c s="1346"/>
      <c s="1349"/>
      <c s="513"/>
      <c s="513"/>
      <c s="513"/>
      <c s="2260"/>
      <c s="2260">
        <v>1</v>
      </c>
      <c s="360"/>
      <c s="1045"/>
      <c s="1402"/>
      <c s="1387"/>
      <c s="2300"/>
      <c s="2300"/>
      <c s="2300"/>
      <c s="2300"/>
      <c s="2300"/>
      <c s="2300"/>
      <c s="2300"/>
      <c s="2301"/>
      <c s="2299"/>
      <c s="2300"/>
      <c s="2300"/>
      <c s="2300"/>
      <c s="2300"/>
      <c s="2300"/>
      <c s="2300"/>
      <c s="2300"/>
      <c s="2300"/>
      <c s="2300"/>
      <c s="2300"/>
      <c s="2300"/>
      <c s="2300"/>
      <c s="2300"/>
      <c s="2300"/>
      <c s="2300"/>
      <c s="2300"/>
      <c s="2300"/>
      <c s="2300"/>
      <c s="2300"/>
      <c s="2300"/>
      <c s="2300"/>
      <c s="2300"/>
      <c s="2300"/>
      <c s="2301"/>
      <c s="1388"/>
      <c r="BE7" s="503"/>
      <c s="503" t="str">
        <f>IF(T7="","",T7)</f>
        <v/>
      </c>
      <c s="503"/>
      <c s="503"/>
      <c s="514">
        <v>0</v>
      </c>
    </row>
    <row r="8" spans="1:61" ht="11.25" customHeight="1" hidden="1">
      <c r="A8" s="1366"/>
      <c s="1366"/>
      <c s="1366"/>
      <c s="1366"/>
      <c s="2262"/>
      <c s="2262"/>
      <c s="2262"/>
      <c s="2262"/>
      <c s="2289"/>
      <c s="2289"/>
      <c s="2259">
        <f>S4&amp;".1"</f>
      </c>
      <c s="1367"/>
      <c r="P8" s="2260"/>
      <c s="2260"/>
      <c s="2350">
        <v>1</v>
      </c>
      <c s="2344">
        <f>$K8</f>
      </c>
      <c s="2363"/>
      <c s="303"/>
      <c s="754"/>
      <c s="1260"/>
      <c s="754"/>
      <c s="1260"/>
      <c s="1737"/>
      <c s="1462" t="s">
        <v>65</v>
      </c>
      <c s="1737"/>
      <c s="1462" t="s">
        <v>65</v>
      </c>
      <c s="2188" t="s">
        <v>65</v>
      </c>
      <c s="2329"/>
      <c s="2208">
        <v>1</v>
      </c>
      <c s="2366"/>
      <c s="2110" t="s">
        <v>65</v>
      </c>
      <c s="2329"/>
      <c s="2208">
        <v>1</v>
      </c>
      <c s="2330" t="s">
        <v>22</v>
      </c>
      <c s="2110" t="s">
        <v>65</v>
      </c>
      <c s="2195"/>
      <c s="2208">
        <v>1</v>
      </c>
      <c s="2360"/>
      <c s="2361" t="s">
        <v>65</v>
      </c>
      <c s="314"/>
      <c s="1466">
        <v>1</v>
      </c>
      <c s="1469" t="s">
        <v>22</v>
      </c>
      <c s="754"/>
      <c s="1260"/>
      <c s="754"/>
      <c s="1260"/>
      <c s="1737"/>
      <c s="1462" t="s">
        <v>65</v>
      </c>
      <c s="1737"/>
      <c s="1462" t="s">
        <v>65</v>
      </c>
      <c s="1351"/>
      <c s="2256" t="s">
        <v>501</v>
      </c>
      <c r="BE8" s="503"/>
      <c s="503" t="str">
        <f>IF(T8="","",T8)</f>
        <v/>
      </c>
      <c s="503"/>
      <c s="503"/>
      <c s="1158">
        <v>0</v>
      </c>
    </row>
    <row r="9" spans="1:61" ht="11.25" customHeight="1" hidden="1">
      <c r="A9" s="1366"/>
      <c s="1366"/>
      <c s="1366"/>
      <c s="1366"/>
      <c s="2262"/>
      <c s="2262"/>
      <c s="2262"/>
      <c s="2262"/>
      <c s="2289"/>
      <c s="2289"/>
      <c s="2259"/>
      <c s="1367"/>
      <c r="P9" s="2260"/>
      <c s="2260"/>
      <c s="2350"/>
      <c s="2345"/>
      <c s="2364"/>
      <c s="303"/>
      <c s="1396"/>
      <c s="1499"/>
      <c s="1396"/>
      <c s="1499"/>
      <c s="1396"/>
      <c s="1396"/>
      <c s="1396"/>
      <c s="1396"/>
      <c s="2189"/>
      <c s="2329"/>
      <c s="2208"/>
      <c s="2366"/>
      <c s="2110"/>
      <c s="2329"/>
      <c s="2208"/>
      <c s="2330"/>
      <c s="2110"/>
      <c s="2203"/>
      <c s="2208"/>
      <c s="2360"/>
      <c s="2362"/>
      <c s="319"/>
      <c s="419"/>
      <c s="419" t="s">
        <v>502</v>
      </c>
      <c s="1396"/>
      <c s="1499"/>
      <c s="1396"/>
      <c s="1499"/>
      <c s="1396"/>
      <c s="1396"/>
      <c s="1396"/>
      <c s="1396"/>
      <c s="1400"/>
      <c s="2257"/>
      <c r="BE9" s="503"/>
      <c s="503"/>
      <c s="503"/>
      <c s="503"/>
      <c s="1158">
        <v>0</v>
      </c>
    </row>
    <row r="10" spans="1:61" ht="11.25" customHeight="1" hidden="1">
      <c r="A10" s="1366"/>
      <c s="1366"/>
      <c s="1366"/>
      <c s="1366"/>
      <c s="2262"/>
      <c s="2262"/>
      <c s="2262"/>
      <c s="2262"/>
      <c s="2289"/>
      <c s="2289"/>
      <c s="2259"/>
      <c s="1367"/>
      <c r="P10" s="2260"/>
      <c s="2260"/>
      <c s="2350"/>
      <c s="2345"/>
      <c s="2364"/>
      <c s="303"/>
      <c s="1396"/>
      <c s="1499"/>
      <c s="1396"/>
      <c s="1499"/>
      <c s="1396"/>
      <c s="1396"/>
      <c s="1396"/>
      <c s="1396"/>
      <c s="2189"/>
      <c s="2329"/>
      <c s="2208"/>
      <c s="2366"/>
      <c s="2110"/>
      <c s="2329"/>
      <c s="2208"/>
      <c s="2330"/>
      <c s="2110"/>
      <c s="319"/>
      <c s="1503"/>
      <c s="1503" t="s">
        <v>503</v>
      </c>
      <c s="419"/>
      <c s="419"/>
      <c s="419"/>
      <c s="1396"/>
      <c s="1396"/>
      <c s="1499"/>
      <c s="1396"/>
      <c s="1499"/>
      <c s="1396"/>
      <c s="1396"/>
      <c s="1396"/>
      <c s="1396"/>
      <c s="1400"/>
      <c s="2257"/>
      <c r="BE10" s="503"/>
      <c s="503"/>
      <c s="503"/>
      <c s="503"/>
      <c s="1158">
        <v>0</v>
      </c>
    </row>
    <row r="11" spans="1:61" ht="11.25" customHeight="1" hidden="1">
      <c r="A11" s="1366"/>
      <c s="1366"/>
      <c s="1366"/>
      <c s="1366"/>
      <c s="2262"/>
      <c s="2262"/>
      <c s="2262"/>
      <c s="2262"/>
      <c s="2289"/>
      <c s="2289"/>
      <c s="2259"/>
      <c s="1367"/>
      <c r="P11" s="2260"/>
      <c s="2260"/>
      <c s="2350"/>
      <c s="2345"/>
      <c s="2364"/>
      <c s="303"/>
      <c s="1396"/>
      <c s="1499"/>
      <c s="1396"/>
      <c s="1499"/>
      <c s="1396"/>
      <c s="1396"/>
      <c s="1396"/>
      <c s="1396"/>
      <c s="2189"/>
      <c s="2329"/>
      <c s="2208"/>
      <c s="2366"/>
      <c s="2110"/>
      <c s="297"/>
      <c s="418"/>
      <c s="316" t="s">
        <v>504</v>
      </c>
      <c s="1396"/>
      <c s="1396"/>
      <c s="1396"/>
      <c s="1396"/>
      <c s="1396"/>
      <c s="1396"/>
      <c s="1396"/>
      <c s="1396"/>
      <c s="1396"/>
      <c s="1499"/>
      <c s="1396"/>
      <c s="1499"/>
      <c s="1396"/>
      <c s="1396"/>
      <c s="1396"/>
      <c s="1396"/>
      <c s="1400"/>
      <c s="2257"/>
      <c r="BE11" s="503"/>
      <c s="503"/>
      <c s="503"/>
      <c s="503"/>
      <c s="1158">
        <v>0</v>
      </c>
    </row>
    <row r="12" spans="1:61" ht="11.25" customHeight="1" hidden="1">
      <c r="A12" s="1366"/>
      <c s="1366"/>
      <c s="1366"/>
      <c s="1366"/>
      <c s="2262"/>
      <c s="2262"/>
      <c s="2262"/>
      <c s="2262"/>
      <c s="2289"/>
      <c s="2289"/>
      <c s="2259"/>
      <c s="1367"/>
      <c r="P12" s="2260"/>
      <c s="2260"/>
      <c s="2350"/>
      <c s="2346"/>
      <c s="2365"/>
      <c s="303"/>
      <c s="1396"/>
      <c s="1397" t="str">
        <f>Z8&amp;"-"&amp;AB8</f>
        <v>-</v>
      </c>
      <c s="1396"/>
      <c s="1397" t="str">
        <f>AB8&amp;"-"&amp;AD8</f>
        <v>-да</v>
      </c>
      <c s="1396"/>
      <c s="1396"/>
      <c s="1396"/>
      <c s="1396"/>
      <c s="2115"/>
      <c s="315"/>
      <c s="317"/>
      <c s="419" t="s">
        <v>505</v>
      </c>
      <c s="1396"/>
      <c s="1396"/>
      <c s="1396"/>
      <c s="1396"/>
      <c s="1396"/>
      <c s="1396"/>
      <c s="1396"/>
      <c s="1396"/>
      <c s="1396"/>
      <c s="1396"/>
      <c s="1396"/>
      <c s="1396"/>
      <c s="1396"/>
      <c s="1397" t="str">
        <f>AX8&amp;"-"&amp;AZ8</f>
        <v>-</v>
      </c>
      <c s="1396"/>
      <c s="1397" t="str">
        <f>AZ8&amp;"-"&amp;BB8</f>
        <v>-</v>
      </c>
      <c s="1396"/>
      <c s="1396"/>
      <c s="1396"/>
      <c s="1396"/>
      <c s="1399" t="str">
        <f>BE8&amp;"-"&amp;BG8</f>
        <v>-</v>
      </c>
      <c s="2257"/>
      <c r="BE12" s="503"/>
      <c s="503" t="str">
        <f>IF(T12="","",T12)</f>
        <v/>
      </c>
      <c s="503"/>
      <c s="503"/>
      <c s="1158">
        <v>0</v>
      </c>
    </row>
    <row r="13" spans="1:61" ht="11.25" customHeight="1" hidden="1">
      <c r="A13" s="1366"/>
      <c s="1366"/>
      <c s="1366"/>
      <c s="1366"/>
      <c s="2262"/>
      <c s="2262"/>
      <c s="2262"/>
      <c s="2262"/>
      <c s="2289"/>
      <c s="2259"/>
      <c s="1366"/>
      <c s="1367"/>
      <c r="P13" s="2260"/>
      <c s="2260"/>
      <c s="359"/>
      <c s="1281"/>
      <c s="290" t="s">
        <v>468</v>
      </c>
      <c s="370"/>
      <c s="370"/>
      <c s="370"/>
      <c s="370"/>
      <c s="370"/>
      <c s="370"/>
      <c s="370"/>
      <c s="370"/>
      <c s="370"/>
      <c s="1508"/>
      <c s="370"/>
      <c s="370"/>
      <c s="370"/>
      <c s="370"/>
      <c s="370"/>
      <c s="370"/>
      <c s="370"/>
      <c s="370"/>
      <c s="370"/>
      <c s="370"/>
      <c s="370"/>
      <c s="370"/>
      <c s="370"/>
      <c s="370"/>
      <c s="370"/>
      <c s="370"/>
      <c s="370"/>
      <c s="370"/>
      <c s="370"/>
      <c s="370"/>
      <c s="370"/>
      <c s="370"/>
      <c s="370"/>
      <c s="327"/>
      <c s="2258"/>
      <c r="BE13" s="503"/>
      <c s="503" t="str">
        <f>IF(T13="","",T13)</f>
        <v>Добавить строку</v>
      </c>
      <c s="503"/>
      <c s="503"/>
      <c s="1158">
        <v>0</v>
      </c>
    </row>
    <row r="14" spans="1:61" s="1645" customFormat="1" ht="14.25" customHeight="1" hidden="1">
      <c r="A14" s="1346"/>
      <c s="1346"/>
      <c s="1346"/>
      <c s="1346"/>
      <c s="2262"/>
      <c s="2262"/>
      <c s="2262"/>
      <c s="2262"/>
      <c s="2259"/>
      <c s="1346"/>
      <c s="1346"/>
      <c s="1349"/>
      <c s="513"/>
      <c s="513"/>
      <c s="513"/>
      <c s="2260"/>
      <c s="1465"/>
      <c s="359"/>
      <c s="1389"/>
      <c s="1390"/>
      <c s="1391"/>
      <c s="1391"/>
      <c s="1391"/>
      <c s="1391"/>
      <c s="1391"/>
      <c s="1391"/>
      <c s="1391"/>
      <c s="1391"/>
      <c s="1391"/>
      <c s="1391"/>
      <c s="1391"/>
      <c s="1391"/>
      <c s="1391"/>
      <c s="1391"/>
      <c s="1391"/>
      <c s="1391"/>
      <c s="1391"/>
      <c s="1391"/>
      <c s="1391"/>
      <c s="1391"/>
      <c s="1391"/>
      <c s="1391"/>
      <c s="1391"/>
      <c s="1391"/>
      <c s="1391"/>
      <c s="1391"/>
      <c s="1391"/>
      <c s="1391"/>
      <c s="1391"/>
      <c s="1391"/>
      <c s="1391"/>
      <c s="1391"/>
      <c s="1391"/>
      <c s="1391"/>
      <c s="1392"/>
      <c r="BE14" s="503"/>
      <c s="503" t="str">
        <f>IF(T14="","",T14)</f>
        <v/>
      </c>
      <c s="503"/>
      <c s="503"/>
      <c s="514">
        <v>0</v>
      </c>
    </row>
    <row r="15" spans="1:61" s="1645" customFormat="1" ht="14.25" customHeight="1" hidden="1">
      <c r="A15" s="1346"/>
      <c s="1346"/>
      <c s="1346"/>
      <c s="1346"/>
      <c s="2262"/>
      <c s="2262"/>
      <c s="2262"/>
      <c s="2261"/>
      <c s="1346"/>
      <c s="1346"/>
      <c s="1346"/>
      <c s="1349"/>
      <c s="1318"/>
      <c s="1318"/>
      <c s="521"/>
      <c s="383"/>
      <c s="1347"/>
      <c s="1404"/>
      <c s="1389"/>
      <c s="1390"/>
      <c s="1391"/>
      <c s="1391"/>
      <c s="1391"/>
      <c s="1391"/>
      <c s="1391"/>
      <c s="1391"/>
      <c s="1391"/>
      <c s="1391"/>
      <c s="1391"/>
      <c s="1391"/>
      <c s="1391"/>
      <c s="1391"/>
      <c s="1391"/>
      <c s="1391"/>
      <c s="1391"/>
      <c s="1391"/>
      <c s="1391"/>
      <c s="1391"/>
      <c s="1391"/>
      <c s="1391"/>
      <c s="1391"/>
      <c s="1391"/>
      <c s="1391"/>
      <c s="1391"/>
      <c s="1391"/>
      <c s="1391"/>
      <c s="1391"/>
      <c s="1391"/>
      <c s="1391"/>
      <c s="1391"/>
      <c s="1391"/>
      <c s="1391"/>
      <c s="1391"/>
      <c s="1391"/>
      <c s="1392"/>
      <c r="BE15" s="503"/>
      <c s="503" t="str">
        <f>IF(T15="","",T15)</f>
        <v/>
      </c>
      <c s="503"/>
      <c s="503"/>
      <c s="514">
        <v>0</v>
      </c>
    </row>
    <row r="16" spans="1:61" s="1645" customFormat="1" ht="14.25" customHeight="1" hidden="1">
      <c r="A16" s="1346"/>
      <c s="1346"/>
      <c s="1346"/>
      <c s="1317"/>
      <c s="2262"/>
      <c s="2262"/>
      <c s="2261"/>
      <c s="1317"/>
      <c s="1317"/>
      <c s="1317"/>
      <c s="1317"/>
      <c s="1467"/>
      <c s="1318"/>
      <c s="1318"/>
      <c r="P16" s="1319"/>
      <c s="1320"/>
      <c s="1319"/>
      <c s="1325"/>
      <c s="1328"/>
      <c s="1327"/>
      <c s="1327"/>
      <c s="1327"/>
      <c s="1327"/>
      <c s="1327"/>
      <c s="1327"/>
      <c s="1327"/>
      <c s="1327"/>
      <c s="1327"/>
      <c s="1327"/>
      <c s="1327"/>
      <c s="1327"/>
      <c s="1327"/>
      <c s="1327"/>
      <c s="1327"/>
      <c s="1327"/>
      <c s="1327"/>
      <c s="1327"/>
      <c s="1327"/>
      <c s="1327"/>
      <c s="1327"/>
      <c s="1327"/>
      <c s="1327"/>
      <c s="1327"/>
      <c s="1327"/>
      <c s="1327"/>
      <c s="1327"/>
      <c s="1327"/>
      <c s="1327"/>
      <c s="1327"/>
      <c s="1327"/>
      <c s="1327"/>
      <c s="1327"/>
      <c s="1327"/>
      <c s="1327"/>
      <c r="BE16" s="792"/>
      <c s="792" t="str">
        <f>IF(T16="","",T16)</f>
        <v/>
      </c>
      <c s="792"/>
      <c s="792"/>
      <c s="521">
        <v>0</v>
      </c>
    </row>
    <row r="17" spans="1:61" s="1645" customFormat="1" ht="14.25" customHeight="1" hidden="1">
      <c r="A17" s="1346"/>
      <c s="1346"/>
      <c s="1317"/>
      <c s="1317"/>
      <c s="2262"/>
      <c s="2261"/>
      <c s="1317"/>
      <c s="1317"/>
      <c s="1317"/>
      <c s="1317"/>
      <c s="1317"/>
      <c s="1467"/>
      <c s="1324"/>
      <c s="1324"/>
      <c r="P17" s="1319"/>
      <c s="1320"/>
      <c s="1319"/>
      <c s="1325"/>
      <c s="1328" t="s">
        <v>415</v>
      </c>
      <c s="1327"/>
      <c s="1327"/>
      <c s="1327"/>
      <c s="1327"/>
      <c s="1327"/>
      <c s="1327"/>
      <c s="1327"/>
      <c s="1327"/>
      <c s="1327"/>
      <c s="1327"/>
      <c s="1327"/>
      <c s="1327"/>
      <c s="1327"/>
      <c s="1327"/>
      <c s="1327"/>
      <c s="1327"/>
      <c s="1327"/>
      <c s="1327"/>
      <c s="1327"/>
      <c s="1327"/>
      <c s="1327"/>
      <c s="1327"/>
      <c s="1327"/>
      <c s="1327"/>
      <c s="1327"/>
      <c s="1327"/>
      <c s="1327"/>
      <c s="1327"/>
      <c s="1327"/>
      <c s="1327"/>
      <c s="1327"/>
      <c s="1327"/>
      <c s="1327"/>
      <c s="1327"/>
      <c s="1327"/>
      <c r="BE17" s="792"/>
      <c s="792" t="str">
        <f>IF(T17="","",T17)</f>
        <v>Добавить централизованную систему для дифференциации</v>
      </c>
      <c s="792"/>
      <c s="792"/>
      <c s="521">
        <v>0</v>
      </c>
    </row>
    <row r="18" spans="1:61" s="1645" customFormat="1" ht="14.25" customHeight="1" hidden="1">
      <c r="A18" s="1346"/>
      <c s="1346"/>
      <c s="1346"/>
      <c s="1346"/>
      <c s="2261"/>
      <c s="1346"/>
      <c s="1346"/>
      <c s="1346"/>
      <c s="1346"/>
      <c s="1346"/>
      <c s="1346"/>
      <c s="1349"/>
      <c s="1324"/>
      <c s="1324"/>
      <c s="521"/>
      <c s="383"/>
      <c s="1347"/>
      <c s="383"/>
      <c s="1325"/>
      <c s="1328" t="s">
        <v>416</v>
      </c>
      <c s="1327"/>
      <c s="1327"/>
      <c s="1327"/>
      <c s="1327"/>
      <c s="1327"/>
      <c s="1327"/>
      <c s="1327"/>
      <c s="1327"/>
      <c s="1327"/>
      <c s="1327"/>
      <c s="1327"/>
      <c s="1327"/>
      <c s="1327"/>
      <c s="1327"/>
      <c s="1327"/>
      <c s="1327"/>
      <c s="1327"/>
      <c s="1327"/>
      <c s="1327"/>
      <c s="1327"/>
      <c s="1327"/>
      <c s="1327"/>
      <c s="1327"/>
      <c s="1327"/>
      <c s="1327"/>
      <c s="1327"/>
      <c s="1327"/>
      <c s="1327"/>
      <c s="1327"/>
      <c s="1327"/>
      <c s="1327"/>
      <c s="1327"/>
      <c s="1327"/>
      <c s="1327"/>
      <c s="1327"/>
      <c r="BE18" s="503"/>
      <c s="503" t="str">
        <f>IF(T18="","",T18)</f>
        <v>Добавить территорию для дифференциации</v>
      </c>
      <c s="503"/>
      <c s="503"/>
      <c s="514">
        <v>0</v>
      </c>
    </row>
    <row r="19" spans="29:61" ht="14.25" customHeight="1" hidden="1">
      <c r="AC19" s="330"/>
      <c r="BA19" s="330"/>
      <c r="BI19" s="1158">
        <v>0</v>
      </c>
    </row>
    <row r="20" spans="30:61" ht="14.25" customHeight="1" hidden="1">
      <c r="AD20" s="1327" t="s">
        <v>19</v>
      </c>
      <c s="1504"/>
      <c s="551">
        <v>1</v>
      </c>
      <c s="1505"/>
      <c s="1327" t="s">
        <v>19</v>
      </c>
      <c s="1504"/>
      <c s="551">
        <v>1</v>
      </c>
      <c s="1505"/>
      <c s="1327" t="s">
        <v>19</v>
      </c>
      <c s="1506"/>
      <c s="551">
        <v>1</v>
      </c>
      <c s="1507"/>
      <c s="1327" t="s">
        <v>19</v>
      </c>
      <c s="1506"/>
      <c s="551">
        <v>1</v>
      </c>
      <c s="1507"/>
      <c s="328"/>
      <c s="387"/>
      <c s="328"/>
      <c s="387"/>
      <c s="1739"/>
      <c s="1463" t="s">
        <v>65</v>
      </c>
      <c s="1739"/>
      <c s="1463" t="s">
        <v>65</v>
      </c>
      <c r="BI20" s="1158">
        <v>0</v>
      </c>
    </row>
    <row r="21" spans="56:61" ht="14.25" customHeight="1" hidden="1">
      <c r="BD21" s="499"/>
      <c s="499"/>
      <c s="499"/>
      <c s="499"/>
      <c s="499"/>
      <c s="1158">
        <v>0</v>
      </c>
    </row>
    <row r="22" spans="15:29 50:61" ht="14.25" customHeight="1" hidden="1">
      <c r="O22" s="1370" t="s">
        <v>417</v>
      </c>
      <c r="Z22" s="1348"/>
      <c r="AB22" s="1348"/>
      <c s="330"/>
      <c r="AX22" s="1348"/>
      <c r="AZ22" s="1348"/>
      <c s="330"/>
      <c r="BD22" s="499"/>
      <c s="499"/>
      <c s="499"/>
      <c s="499"/>
      <c s="499"/>
      <c s="1158">
        <v>0</v>
      </c>
    </row>
    <row r="23" spans="29:61" ht="14.25" customHeight="1" hidden="1">
      <c r="AC23" s="330"/>
      <c r="BA23" s="330"/>
      <c r="BD23" s="499"/>
      <c s="499"/>
      <c s="499"/>
      <c s="499"/>
      <c s="499"/>
      <c s="1158">
        <v>0</v>
      </c>
    </row>
    <row r="24" spans="13:61" s="1512" customFormat="1" ht="14.25" customHeight="1" hidden="1">
      <c r="M24" s="1511"/>
      <c s="1511"/>
      <c s="1512" t="s">
        <v>418</v>
      </c>
      <c s="1511"/>
      <c s="1513"/>
      <c s="1513"/>
      <c r="AA24" s="1510" t="s">
        <v>420</v>
      </c>
      <c r="AC24" s="1510" t="s">
        <v>421</v>
      </c>
      <c s="1510" t="s">
        <v>469</v>
      </c>
      <c r="AH24" s="1510" t="s">
        <v>469</v>
      </c>
      <c r="AK24" s="1510" t="s">
        <v>506</v>
      </c>
      <c s="1510" t="s">
        <v>469</v>
      </c>
      <c r="AP24" s="1510" t="s">
        <v>469</v>
      </c>
      <c r="AY24" s="1510" t="s">
        <v>420</v>
      </c>
      <c r="BA24" s="1510" t="s">
        <v>421</v>
      </c>
      <c r="BD24" s="1514"/>
      <c s="1514"/>
      <c s="1514"/>
      <c s="1514"/>
      <c s="1514"/>
      <c s="1510">
        <v>0</v>
      </c>
    </row>
    <row r="25" spans="15:15 56:61" ht="14.25" customHeight="1" hidden="1">
      <c r="O25" s="1367"/>
      <c r="BD25" s="499"/>
      <c s="499"/>
      <c s="499"/>
      <c s="499"/>
      <c s="499"/>
      <c s="1158">
        <v>0</v>
      </c>
    </row>
    <row r="26" spans="15:15 56:61" ht="14.25" customHeight="1" hidden="1">
      <c r="O26" s="1367"/>
      <c r="BD26" s="499"/>
      <c s="499"/>
      <c s="499"/>
      <c s="499"/>
      <c s="499"/>
      <c s="1158">
        <v>0</v>
      </c>
    </row>
    <row r="27" spans="17:61" ht="14.7" customHeight="1">
      <c r="Q27" s="294"/>
      <c s="379"/>
      <c s="1278"/>
      <c s="366"/>
      <c s="366"/>
      <c s="512"/>
      <c s="512"/>
      <c s="512"/>
      <c s="512"/>
      <c s="512"/>
      <c s="512"/>
      <c s="512"/>
      <c s="512"/>
      <c s="512"/>
      <c s="512"/>
      <c s="512"/>
      <c s="512"/>
      <c s="512"/>
      <c s="512"/>
      <c s="512"/>
      <c s="512"/>
      <c s="512"/>
      <c s="512"/>
      <c s="512"/>
      <c s="512"/>
      <c s="512"/>
      <c s="512"/>
      <c s="512"/>
      <c s="512"/>
      <c s="512"/>
      <c s="512"/>
      <c s="512"/>
      <c s="512"/>
      <c s="512"/>
      <c s="512"/>
      <c s="512"/>
      <c s="512"/>
      <c r="BI27" s="1158">
        <v>14</v>
      </c>
    </row>
    <row r="28" spans="17:61" ht="14.7" customHeight="1">
      <c r="Q28" s="294"/>
      <c s="379"/>
      <c s="2251" t="str">
        <f>IF(TEMPLATE_GROUP="P",PT_P_FORM_COLDVSNA_5_NAME_FORM,PT_R_FORM_COLDVSNA_17_NAME_FORM)</f>
        <v>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v>
      </c>
      <c s="2251"/>
      <c s="2251"/>
      <c s="2251"/>
      <c s="2251"/>
      <c s="2251"/>
      <c s="2251"/>
      <c s="2251"/>
      <c s="2251"/>
      <c s="2251"/>
      <c s="2251"/>
      <c s="2251"/>
      <c s="2251"/>
      <c s="2251"/>
      <c s="2251"/>
      <c s="2251"/>
      <c s="2251"/>
      <c s="2251"/>
      <c s="2251"/>
      <c s="2251"/>
      <c s="2251"/>
      <c s="2251"/>
      <c s="2251"/>
      <c s="2251"/>
      <c s="2251"/>
      <c s="2251"/>
      <c s="2251"/>
      <c s="2251"/>
      <c s="2251"/>
      <c s="2251"/>
      <c s="2251"/>
      <c s="2251"/>
      <c s="2251"/>
      <c s="2251"/>
      <c s="1246"/>
      <c r="BI28" s="1158">
        <v>14</v>
      </c>
    </row>
    <row r="29" spans="17:61" ht="14.7" customHeight="1">
      <c r="Q29" s="294"/>
      <c s="379"/>
      <c s="2252" t="str">
        <f>IF(org=0,"Не определено",org)</f>
        <v>ГУП КК "Кубаньводкомплекс"</v>
      </c>
      <c s="2252"/>
      <c s="2252"/>
      <c s="2252"/>
      <c s="2252"/>
      <c s="2252"/>
      <c s="2252"/>
      <c s="2252"/>
      <c s="2252"/>
      <c s="2252"/>
      <c s="2252"/>
      <c s="2252"/>
      <c s="2252"/>
      <c s="2252"/>
      <c s="2252"/>
      <c s="2252"/>
      <c s="2252"/>
      <c s="2252"/>
      <c s="2252"/>
      <c s="2252"/>
      <c s="2252"/>
      <c s="2252"/>
      <c s="2252"/>
      <c s="2252"/>
      <c s="2252"/>
      <c s="2252"/>
      <c s="2252"/>
      <c s="2252"/>
      <c s="2252"/>
      <c s="2252"/>
      <c s="2252"/>
      <c s="2252"/>
      <c s="2252"/>
      <c s="2252"/>
      <c s="1246"/>
      <c r="BI29" s="1158">
        <v>14</v>
      </c>
    </row>
    <row r="30" spans="17:61" ht="14.25" customHeight="1" hidden="1">
      <c r="Q30" s="294"/>
      <c s="379"/>
      <c s="1278"/>
      <c s="366"/>
      <c s="366"/>
      <c s="325"/>
      <c s="325"/>
      <c s="325"/>
      <c s="325"/>
      <c s="325"/>
      <c s="325"/>
      <c s="325"/>
      <c s="325"/>
      <c s="325"/>
      <c s="325"/>
      <c s="325"/>
      <c s="325"/>
      <c s="325"/>
      <c s="325"/>
      <c s="325"/>
      <c s="325"/>
      <c s="325"/>
      <c s="325"/>
      <c s="325"/>
      <c s="325"/>
      <c s="325"/>
      <c s="325"/>
      <c s="325"/>
      <c s="325"/>
      <c s="325"/>
      <c s="325"/>
      <c s="325"/>
      <c s="325"/>
      <c s="325"/>
      <c s="325"/>
      <c s="325"/>
      <c s="325"/>
      <c s="512"/>
      <c r="BI30" s="1158">
        <v>0</v>
      </c>
    </row>
    <row r="31" spans="1:61" s="1856" customFormat="1" ht="25.5" customHeight="1" hidden="1">
      <c r="A31" s="1371"/>
      <c s="1371"/>
      <c s="1371"/>
      <c s="1371"/>
      <c s="1371"/>
      <c s="1371"/>
      <c s="1371"/>
      <c s="1371"/>
      <c s="1371"/>
      <c s="1371"/>
      <c s="1371"/>
      <c s="1372"/>
      <c s="1371"/>
      <c s="1371"/>
      <c s="1371"/>
      <c s="1371"/>
      <c s="1371"/>
      <c r="S31" s="2253" t="s">
        <v>42</v>
      </c>
      <c s="2253"/>
      <c s="1375"/>
      <c s="2254" t="str">
        <f>IF(TITLE_NAME_OR_PR_CHANGE="",IF(TITLE_NAME_OR_PR="","",TITLE_NAME_OR_PR),TITLE_NAME_OR_PR_CHANGE)</f>
        <v/>
      </c>
      <c s="2254"/>
      <c s="2254"/>
      <c s="2254"/>
      <c s="2254"/>
      <c s="2254"/>
      <c s="2254"/>
      <c s="329"/>
      <c s="2254" t="str">
        <f>IF(TITLE_NAME_OR_PR_CHANGE="",IF(TITLE_NAME_OR_PR="","",TITLE_NAME_OR_PR),TITLE_NAME_OR_PR_CHANGE)</f>
        <v/>
      </c>
      <c s="2254"/>
      <c s="2254"/>
      <c s="2254"/>
      <c s="2254"/>
      <c s="2254"/>
      <c s="2254"/>
      <c s="2254"/>
      <c s="2254"/>
      <c s="2254"/>
      <c s="2254"/>
      <c s="2254"/>
      <c s="2254"/>
      <c s="2254"/>
      <c s="2254"/>
      <c s="2254"/>
      <c s="2254"/>
      <c s="2254"/>
      <c s="2254"/>
      <c s="2254"/>
      <c s="2254"/>
      <c s="2254"/>
      <c s="2254"/>
      <c s="329"/>
      <c s="329"/>
      <c s="283"/>
      <c s="371"/>
      <c s="371"/>
      <c s="371"/>
      <c s="371"/>
      <c s="371"/>
      <c s="421">
        <v>0</v>
      </c>
    </row>
    <row r="32" spans="1:61" s="1856" customFormat="1" ht="18.75" customHeight="1" hidden="1">
      <c r="A32" s="1371"/>
      <c s="1371"/>
      <c s="1371"/>
      <c s="1371"/>
      <c s="1371"/>
      <c s="1371"/>
      <c s="1371"/>
      <c s="1371"/>
      <c s="1371"/>
      <c s="1371"/>
      <c s="1371"/>
      <c s="1372"/>
      <c s="1371"/>
      <c s="1371"/>
      <c s="1371"/>
      <c s="1371"/>
      <c s="1371"/>
      <c r="S32" s="2253" t="s">
        <v>423</v>
      </c>
      <c s="2253"/>
      <c s="1375"/>
      <c s="2267" t="str">
        <f>IF(TITLE_DATE_PR_CHANGE="",IF(TITLE_DATE_PR="","",TITLE_DATE_PR),TITLE_DATE_PR_CHANGE)</f>
        <v/>
      </c>
      <c s="2267"/>
      <c s="2267"/>
      <c s="2267"/>
      <c s="2267"/>
      <c s="2267"/>
      <c s="2267"/>
      <c s="329"/>
      <c s="2267" t="str">
        <f>IF(TITLE_DATE_PR_CHANGE="",IF(TITLE_DATE_PR="","",TITLE_DATE_PR),TITLE_DATE_PR_CHANGE)</f>
        <v/>
      </c>
      <c s="2267"/>
      <c s="2267"/>
      <c s="2267"/>
      <c s="2267"/>
      <c s="2267"/>
      <c s="2267"/>
      <c s="2267"/>
      <c s="2267"/>
      <c s="2267"/>
      <c s="2267"/>
      <c s="2267"/>
      <c s="2267"/>
      <c s="2267"/>
      <c s="2267"/>
      <c s="2267"/>
      <c s="2267"/>
      <c s="2267"/>
      <c s="2267"/>
      <c s="2267"/>
      <c s="2267"/>
      <c s="2267"/>
      <c s="2267"/>
      <c s="329"/>
      <c s="329"/>
      <c s="283"/>
      <c s="371"/>
      <c s="371"/>
      <c s="371"/>
      <c s="371"/>
      <c s="371"/>
      <c s="421">
        <v>0</v>
      </c>
    </row>
    <row r="33" spans="1:61" s="1856" customFormat="1" ht="18.75" customHeight="1" hidden="1">
      <c r="A33" s="1371"/>
      <c s="1371"/>
      <c s="1371"/>
      <c s="1371"/>
      <c s="1371"/>
      <c s="1371"/>
      <c s="1371"/>
      <c s="1371"/>
      <c s="1371"/>
      <c s="1371"/>
      <c s="1371"/>
      <c s="1372"/>
      <c s="1371"/>
      <c s="1371"/>
      <c s="1371"/>
      <c s="1371"/>
      <c s="1371"/>
      <c r="S33" s="2253" t="s">
        <v>424</v>
      </c>
      <c s="2253"/>
      <c s="1375"/>
      <c s="2254" t="str">
        <f>IF(TITLE_NUMBER_PR_CHANGE="",IF(TITLE_NUMBER_PR="","",TITLE_NUMBER_PR),TITLE_NUMBER_PR_CHANGE)</f>
        <v/>
      </c>
      <c s="2254"/>
      <c s="2254"/>
      <c s="2254"/>
      <c s="2254"/>
      <c s="2254"/>
      <c s="2254"/>
      <c s="329"/>
      <c s="2254" t="str">
        <f>IF(TITLE_NUMBER_PR_CHANGE="",IF(TITLE_NUMBER_PR="","",TITLE_NUMBER_PR),TITLE_NUMBER_PR_CHANGE)</f>
        <v/>
      </c>
      <c s="2254"/>
      <c s="2254"/>
      <c s="2254"/>
      <c s="2254"/>
      <c s="2254"/>
      <c s="2254"/>
      <c s="2254"/>
      <c s="2254"/>
      <c s="2254"/>
      <c s="2254"/>
      <c s="2254"/>
      <c s="2254"/>
      <c s="2254"/>
      <c s="2254"/>
      <c s="2254"/>
      <c s="2254"/>
      <c s="2254"/>
      <c s="2254"/>
      <c s="2254"/>
      <c s="2254"/>
      <c s="2254"/>
      <c s="2254"/>
      <c s="329"/>
      <c s="329"/>
      <c s="283"/>
      <c s="371"/>
      <c s="371"/>
      <c s="371"/>
      <c s="371"/>
      <c s="371"/>
      <c s="421">
        <v>0</v>
      </c>
    </row>
    <row r="34" spans="1:61" s="1856" customFormat="1" ht="18.75" customHeight="1" hidden="1">
      <c r="A34" s="1371"/>
      <c s="1371"/>
      <c s="1371"/>
      <c s="1371"/>
      <c s="1371"/>
      <c s="1371"/>
      <c s="1371"/>
      <c s="1371"/>
      <c s="1371"/>
      <c s="1371"/>
      <c s="1371"/>
      <c s="1372"/>
      <c s="1371"/>
      <c s="1371"/>
      <c s="1371"/>
      <c s="1371"/>
      <c s="1371"/>
      <c r="S34" s="2253" t="s">
        <v>43</v>
      </c>
      <c s="2253"/>
      <c s="1375"/>
      <c s="2254" t="str">
        <f>IF(TITLE_IST_PUB_CHANGE="",IF(TITLE_IST_PUB="","",TITLE_IST_PUB),TITLE_IST_PUB_CHANGE)</f>
        <v/>
      </c>
      <c s="2254"/>
      <c s="2254"/>
      <c s="2254"/>
      <c s="2254"/>
      <c s="2254"/>
      <c s="2254"/>
      <c s="329"/>
      <c s="2254" t="str">
        <f>IF(TITLE_IST_PUB_CHANGE="",IF(TITLE_IST_PUB="","",TITLE_IST_PUB),TITLE_IST_PUB_CHANGE)</f>
        <v/>
      </c>
      <c s="2254"/>
      <c s="2254"/>
      <c s="2254"/>
      <c s="2254"/>
      <c s="2254"/>
      <c s="2254"/>
      <c s="2254"/>
      <c s="2254"/>
      <c s="2254"/>
      <c s="2254"/>
      <c s="2254"/>
      <c s="2254"/>
      <c s="2254"/>
      <c s="2254"/>
      <c s="2254"/>
      <c s="2254"/>
      <c s="2254"/>
      <c s="2254"/>
      <c s="2254"/>
      <c s="2254"/>
      <c s="2254"/>
      <c s="2254"/>
      <c s="329"/>
      <c s="329"/>
      <c s="283"/>
      <c s="371"/>
      <c s="371"/>
      <c s="371"/>
      <c s="371"/>
      <c s="371"/>
      <c s="421">
        <v>0</v>
      </c>
    </row>
    <row r="35" spans="17:61" ht="14.25" customHeight="1" hidden="1">
      <c r="Q35" s="294"/>
      <c s="379"/>
      <c s="1278"/>
      <c s="366"/>
      <c s="366"/>
      <c s="325"/>
      <c s="325"/>
      <c s="325"/>
      <c s="325"/>
      <c s="325"/>
      <c s="325"/>
      <c s="325"/>
      <c s="325"/>
      <c s="325"/>
      <c s="325"/>
      <c s="325"/>
      <c s="325"/>
      <c s="325"/>
      <c s="325"/>
      <c s="325"/>
      <c s="325"/>
      <c s="325"/>
      <c s="325"/>
      <c s="325"/>
      <c s="325"/>
      <c s="325"/>
      <c s="325"/>
      <c s="325"/>
      <c s="325"/>
      <c s="325"/>
      <c s="325"/>
      <c s="325"/>
      <c s="325"/>
      <c s="325"/>
      <c s="325"/>
      <c s="325"/>
      <c s="325"/>
      <c s="512"/>
      <c r="BI35" s="1158">
        <v>0</v>
      </c>
    </row>
    <row r="36" spans="1:61" s="1856" customFormat="1" ht="18.75" customHeight="1" hidden="1">
      <c r="A36" s="1371"/>
      <c s="1371"/>
      <c s="1371"/>
      <c s="1371"/>
      <c s="1371"/>
      <c s="1371"/>
      <c s="1371"/>
      <c s="1371"/>
      <c s="1371"/>
      <c s="1371"/>
      <c s="1371"/>
      <c s="1372"/>
      <c s="1371"/>
      <c s="1371"/>
      <c s="1371"/>
      <c s="1371"/>
      <c s="1371"/>
      <c r="S36" s="2253" t="s">
        <v>423</v>
      </c>
      <c s="2253"/>
      <c s="1375"/>
      <c s="2267" t="str">
        <f>IF(TITLE_DATE_PR_CHANGE="",IF(TITLE_DATE_PR="","",TITLE_DATE_PR),TITLE_DATE_PR_CHANGE)</f>
        <v/>
      </c>
      <c s="2267"/>
      <c s="2267"/>
      <c s="2267"/>
      <c s="2267"/>
      <c s="2267"/>
      <c s="2267"/>
      <c s="329"/>
      <c s="2267" t="str">
        <f>IF(TITLE_DATE_PR_CHANGE="",IF(TITLE_DATE_PR="","",TITLE_DATE_PR),TITLE_DATE_PR_CHANGE)</f>
        <v/>
      </c>
      <c s="2267"/>
      <c s="2267"/>
      <c s="2267"/>
      <c s="2267"/>
      <c s="2267"/>
      <c s="2267"/>
      <c s="2267"/>
      <c s="2267"/>
      <c s="2267"/>
      <c s="2267"/>
      <c s="2267"/>
      <c s="2267"/>
      <c s="2267"/>
      <c s="2267"/>
      <c s="2267"/>
      <c s="2267"/>
      <c s="2267"/>
      <c s="2267"/>
      <c s="2267"/>
      <c s="2267"/>
      <c s="2267"/>
      <c s="2267"/>
      <c s="329"/>
      <c s="329"/>
      <c s="283"/>
      <c s="371"/>
      <c s="371"/>
      <c s="371"/>
      <c s="371"/>
      <c s="371"/>
      <c s="421">
        <v>0</v>
      </c>
    </row>
    <row r="37" spans="1:61" s="1856" customFormat="1" ht="18.75" customHeight="1" hidden="1">
      <c r="A37" s="1371"/>
      <c s="1371"/>
      <c s="1371"/>
      <c s="1371"/>
      <c s="1371"/>
      <c s="1371"/>
      <c s="1371"/>
      <c s="1371"/>
      <c s="1371"/>
      <c s="1371"/>
      <c s="1371"/>
      <c s="1372"/>
      <c s="1371"/>
      <c s="1371"/>
      <c s="1371"/>
      <c s="1371"/>
      <c s="1371"/>
      <c r="S37" s="2253" t="s">
        <v>424</v>
      </c>
      <c s="2253"/>
      <c s="1375"/>
      <c s="2254" t="str">
        <f>IF(TITLE_NUMBER_PR_CHANGE="",IF(TITLE_NUMBER_PR="","",TITLE_NUMBER_PR),TITLE_NUMBER_PR_CHANGE)</f>
        <v/>
      </c>
      <c s="2254"/>
      <c s="2254"/>
      <c s="2254"/>
      <c s="2254"/>
      <c s="2254"/>
      <c s="2254"/>
      <c s="329"/>
      <c s="2254" t="str">
        <f>IF(TITLE_NUMBER_PR_CHANGE="",IF(TITLE_NUMBER_PR="","",TITLE_NUMBER_PR),TITLE_NUMBER_PR_CHANGE)</f>
        <v/>
      </c>
      <c s="2254"/>
      <c s="2254"/>
      <c s="2254"/>
      <c s="2254"/>
      <c s="2254"/>
      <c s="2254"/>
      <c s="2254"/>
      <c s="2254"/>
      <c s="2254"/>
      <c s="2254"/>
      <c s="2254"/>
      <c s="2254"/>
      <c s="2254"/>
      <c s="2254"/>
      <c s="2254"/>
      <c s="2254"/>
      <c s="2254"/>
      <c s="2254"/>
      <c s="2254"/>
      <c s="2254"/>
      <c s="2254"/>
      <c s="2254"/>
      <c s="329"/>
      <c s="329"/>
      <c s="283"/>
      <c s="371"/>
      <c s="371"/>
      <c s="371"/>
      <c s="371"/>
      <c s="371"/>
      <c s="421">
        <v>0</v>
      </c>
    </row>
    <row r="38" spans="1:61" s="1856" customFormat="1" ht="0" customHeight="1">
      <c r="A38" s="1371"/>
      <c s="1371"/>
      <c s="1371"/>
      <c s="1371"/>
      <c s="1371"/>
      <c s="1371"/>
      <c s="1371"/>
      <c s="1371"/>
      <c s="1371"/>
      <c s="1371"/>
      <c s="1371"/>
      <c s="1372"/>
      <c s="1371"/>
      <c s="1371"/>
      <c s="1371"/>
      <c s="1371"/>
      <c s="1371"/>
      <c r="S38" s="326"/>
      <c s="326"/>
      <c s="1457"/>
      <c s="329"/>
      <c s="329"/>
      <c s="329"/>
      <c s="329"/>
      <c s="329"/>
      <c s="329"/>
      <c s="329"/>
      <c s="281" t="s">
        <v>427</v>
      </c>
      <c s="329"/>
      <c s="329"/>
      <c s="329"/>
      <c s="329"/>
      <c s="329"/>
      <c s="329"/>
      <c s="329"/>
      <c s="329"/>
      <c s="329"/>
      <c s="329"/>
      <c s="329"/>
      <c s="329"/>
      <c s="329"/>
      <c s="329"/>
      <c s="329"/>
      <c s="329"/>
      <c s="329"/>
      <c s="329"/>
      <c s="329"/>
      <c s="329"/>
      <c s="329"/>
      <c s="329"/>
      <c s="329"/>
      <c s="281" t="s">
        <v>427</v>
      </c>
      <c r="BD38" s="371"/>
      <c s="371"/>
      <c s="371"/>
      <c s="371"/>
      <c s="371"/>
      <c s="421">
        <v>0</v>
      </c>
    </row>
    <row r="39" spans="17:61" ht="14.7" customHeight="1">
      <c r="Q39" s="294"/>
      <c s="379"/>
      <c s="1278"/>
      <c s="366"/>
      <c s="1247"/>
      <c s="2255"/>
      <c s="2255"/>
      <c s="2255"/>
      <c s="2255"/>
      <c s="2255"/>
      <c s="2255"/>
      <c s="2255"/>
      <c s="2255"/>
      <c s="2255"/>
      <c s="2255"/>
      <c s="2255"/>
      <c s="2255"/>
      <c s="2255"/>
      <c s="2255"/>
      <c s="2255"/>
      <c s="2255"/>
      <c s="2255"/>
      <c s="2255"/>
      <c s="2255"/>
      <c s="2255"/>
      <c s="2255"/>
      <c s="2255"/>
      <c s="2255"/>
      <c s="2255"/>
      <c s="2255"/>
      <c s="2255"/>
      <c s="2255"/>
      <c s="2255"/>
      <c s="2255"/>
      <c s="2255"/>
      <c s="2255"/>
      <c s="2255"/>
      <c r="BI39" s="1158">
        <v>14</v>
      </c>
    </row>
    <row r="40" spans="17:61" ht="14.7" customHeight="1">
      <c r="Q40" s="294"/>
      <c s="379"/>
      <c s="2130" t="s">
        <v>300</v>
      </c>
      <c s="2130"/>
      <c s="2130"/>
      <c s="2130"/>
      <c s="2130"/>
      <c s="2130"/>
      <c s="2130"/>
      <c s="2130"/>
      <c s="2130"/>
      <c s="2130"/>
      <c s="2130"/>
      <c s="2130"/>
      <c s="2130"/>
      <c s="2130"/>
      <c s="2130"/>
      <c s="2130"/>
      <c s="2130"/>
      <c s="2130"/>
      <c s="2130"/>
      <c s="2130"/>
      <c s="2130"/>
      <c s="2130"/>
      <c s="2130"/>
      <c s="2130"/>
      <c s="2130"/>
      <c s="2130"/>
      <c s="2130"/>
      <c s="2130"/>
      <c s="2130"/>
      <c s="2130"/>
      <c s="2130"/>
      <c s="2130"/>
      <c s="2130"/>
      <c s="2130"/>
      <c s="2130"/>
      <c s="2130"/>
      <c s="2130" t="s">
        <v>301</v>
      </c>
      <c r="BI40" s="1158">
        <v>14</v>
      </c>
    </row>
    <row r="41" spans="17:61" ht="14.7" customHeight="1">
      <c r="Q41" s="294"/>
      <c s="379"/>
      <c s="2276" t="s">
        <v>87</v>
      </c>
      <c s="2212" t="s">
        <v>507</v>
      </c>
      <c s="304"/>
      <c s="2277" t="s">
        <v>429</v>
      </c>
      <c s="2278"/>
      <c s="2278"/>
      <c s="2278"/>
      <c s="2278"/>
      <c s="2278"/>
      <c s="2279"/>
      <c s="2280" t="s">
        <v>430</v>
      </c>
      <c s="2331" t="s">
        <v>508</v>
      </c>
      <c s="2294"/>
      <c s="2294"/>
      <c s="2332"/>
      <c s="2331" t="s">
        <v>509</v>
      </c>
      <c s="2294"/>
      <c s="2294"/>
      <c s="2332"/>
      <c s="2331" t="s">
        <v>510</v>
      </c>
      <c s="2294"/>
      <c s="2294"/>
      <c s="2332"/>
      <c s="2331" t="s">
        <v>511</v>
      </c>
      <c s="2294"/>
      <c s="2294"/>
      <c s="2332"/>
      <c s="2277" t="s">
        <v>429</v>
      </c>
      <c s="2278"/>
      <c s="2278"/>
      <c s="2278"/>
      <c s="2278"/>
      <c s="2278"/>
      <c s="2279"/>
      <c s="2280" t="s">
        <v>430</v>
      </c>
      <c s="2283" t="s">
        <v>432</v>
      </c>
      <c s="2130"/>
      <c r="BI41" s="1158">
        <v>14</v>
      </c>
    </row>
    <row r="42" spans="17:61" ht="35.7" customHeight="1">
      <c r="Q42" s="294"/>
      <c s="379"/>
      <c s="2276"/>
      <c s="2212"/>
      <c s="1034"/>
      <c s="2195" t="s">
        <v>512</v>
      </c>
      <c s="2196"/>
      <c s="2195" t="s">
        <v>513</v>
      </c>
      <c s="2196"/>
      <c s="2297" t="s">
        <v>514</v>
      </c>
      <c s="2316"/>
      <c s="2317"/>
      <c s="2281"/>
      <c s="2333"/>
      <c s="2334"/>
      <c s="2334"/>
      <c s="2335"/>
      <c s="2333"/>
      <c s="2334"/>
      <c s="2334"/>
      <c s="2335"/>
      <c s="2333"/>
      <c s="2334"/>
      <c s="2334"/>
      <c s="2335"/>
      <c s="2333"/>
      <c s="2334"/>
      <c s="2334"/>
      <c s="2335"/>
      <c s="2195" t="s">
        <v>512</v>
      </c>
      <c s="2196"/>
      <c s="2195" t="s">
        <v>513</v>
      </c>
      <c s="2196"/>
      <c s="2297" t="s">
        <v>514</v>
      </c>
      <c s="2316"/>
      <c s="2317"/>
      <c s="2281"/>
      <c s="2284"/>
      <c s="2130"/>
      <c r="BI42" s="1158">
        <v>34</v>
      </c>
    </row>
    <row r="43" spans="17:61" ht="14.7" customHeight="1">
      <c r="Q43" s="294"/>
      <c s="379"/>
      <c s="2276"/>
      <c s="2212"/>
      <c s="1034"/>
      <c s="2203"/>
      <c s="2204"/>
      <c s="2203"/>
      <c s="2204"/>
      <c s="2298"/>
      <c s="2318"/>
      <c s="2319"/>
      <c s="2281"/>
      <c s="2333"/>
      <c s="2334"/>
      <c s="2334"/>
      <c s="2335"/>
      <c s="2333"/>
      <c s="2334"/>
      <c s="2334"/>
      <c s="2335"/>
      <c s="2333"/>
      <c s="2334"/>
      <c s="2334"/>
      <c s="2335"/>
      <c s="2333"/>
      <c s="2334"/>
      <c s="2334"/>
      <c s="2335"/>
      <c s="2203"/>
      <c s="2204"/>
      <c s="2203"/>
      <c s="2204"/>
      <c s="2298"/>
      <c s="2318"/>
      <c s="2319"/>
      <c s="2281"/>
      <c s="2284"/>
      <c s="2130"/>
      <c r="BI43" s="1158">
        <v>14</v>
      </c>
    </row>
    <row r="44" spans="1:61" ht="14.7" customHeight="1">
      <c r="A44" s="1373"/>
      <c s="1373" t="s">
        <v>137</v>
      </c>
      <c s="1373" t="s">
        <v>138</v>
      </c>
      <c s="1373" t="s">
        <v>139</v>
      </c>
      <c s="1367" t="s">
        <v>437</v>
      </c>
      <c s="1367" t="s">
        <v>438</v>
      </c>
      <c s="1367" t="s">
        <v>439</v>
      </c>
      <c s="1367" t="s">
        <v>440</v>
      </c>
      <c s="1367" t="s">
        <v>441</v>
      </c>
      <c s="1367" t="s">
        <v>442</v>
      </c>
      <c s="1367" t="s">
        <v>443</v>
      </c>
      <c s="1367" t="s">
        <v>418</v>
      </c>
      <c r="Q44" s="294"/>
      <c s="379"/>
      <c s="2276"/>
      <c s="2212"/>
      <c s="305"/>
      <c s="1451" t="s">
        <v>478</v>
      </c>
      <c s="1451" t="s">
        <v>479</v>
      </c>
      <c s="1451" t="s">
        <v>478</v>
      </c>
      <c s="1451" t="s">
        <v>479</v>
      </c>
      <c s="1458" t="s">
        <v>446</v>
      </c>
      <c s="2273" t="s">
        <v>447</v>
      </c>
      <c s="2274"/>
      <c s="2282"/>
      <c s="2336"/>
      <c s="2337"/>
      <c s="2337"/>
      <c s="2338"/>
      <c s="2336"/>
      <c s="2337"/>
      <c s="2337"/>
      <c s="2338"/>
      <c s="2336"/>
      <c s="2337"/>
      <c s="2337"/>
      <c s="2338"/>
      <c s="2336"/>
      <c s="2337"/>
      <c s="2337"/>
      <c s="2338"/>
      <c s="1451" t="s">
        <v>478</v>
      </c>
      <c s="1451" t="s">
        <v>479</v>
      </c>
      <c s="1451" t="s">
        <v>478</v>
      </c>
      <c s="1451" t="s">
        <v>479</v>
      </c>
      <c s="1458" t="s">
        <v>446</v>
      </c>
      <c s="2273" t="s">
        <v>447</v>
      </c>
      <c s="2274"/>
      <c s="2282"/>
      <c s="2285"/>
      <c s="2130"/>
      <c r="BI44" s="1158">
        <v>14</v>
      </c>
    </row>
    <row r="45" spans="1:61" s="1644" customFormat="1" ht="11.25" customHeight="1" hidden="1">
      <c r="A45" s="1373"/>
      <c s="1373"/>
      <c s="1373"/>
      <c s="1373"/>
      <c s="1373"/>
      <c s="1373"/>
      <c s="1373"/>
      <c s="1373"/>
      <c s="1373"/>
      <c s="1373"/>
      <c s="1373"/>
      <c s="1367"/>
      <c s="1365"/>
      <c s="1365"/>
      <c s="1365"/>
      <c s="513"/>
      <c s="1257"/>
      <c s="1257">
        <v>1</v>
      </c>
      <c s="1280" t="s">
        <v>109</v>
      </c>
      <c s="1258" t="s">
        <v>110</v>
      </c>
      <c s="1248" t="str">
        <f ca="1">OFFSET(U45,0,-1)</f>
        <v>2</v>
      </c>
      <c s="1454">
        <f ca="1">OFFSET(V45,0,-1)+1</f>
        <v>3</v>
      </c>
      <c s="1454">
        <f ca="1">OFFSET(W45,0,-1)+1</f>
        <v>4</v>
      </c>
      <c s="1454">
        <f ca="1">OFFSET(X45,0,-1)+1</f>
        <v>5</v>
      </c>
      <c s="1454">
        <f ca="1">OFFSET(Y45,0,-1)+1</f>
        <v>6</v>
      </c>
      <c s="1454">
        <f ca="1">OFFSET(Z45,0,-1)+1</f>
        <v>7</v>
      </c>
      <c s="2275">
        <f ca="1">OFFSET(AA45,0,-1)+1</f>
        <v>8</v>
      </c>
      <c s="2275"/>
      <c s="1454">
        <f ca="1">OFFSET(AC45,0,-2)+1</f>
        <v>9</v>
      </c>
      <c s="1454">
        <f ca="1">OFFSET(AD45,0,-1)+1</f>
        <v>10</v>
      </c>
      <c s="1454"/>
      <c s="1454"/>
      <c s="1454"/>
      <c s="1454"/>
      <c s="1454"/>
      <c s="1454"/>
      <c s="1454"/>
      <c s="1454"/>
      <c s="1454"/>
      <c s="1454"/>
      <c s="1454"/>
      <c s="1454"/>
      <c s="1454"/>
      <c s="1454"/>
      <c s="1454"/>
      <c s="1454"/>
      <c s="1454"/>
      <c s="1454"/>
      <c s="1454">
        <f ca="1">OFFSET(AW45,0,-1)+1</f>
        <v>1</v>
      </c>
      <c s="1454">
        <f ca="1">OFFSET(AX45,0,-1)+1</f>
        <v>2</v>
      </c>
      <c s="2275">
        <f ca="1">OFFSET(AY45,0,-1)+1</f>
        <v>3</v>
      </c>
      <c s="2275"/>
      <c s="1454">
        <f ca="1">OFFSET(BA45,0,-2)+1</f>
        <v>4</v>
      </c>
      <c s="1248">
        <f ca="1">OFFSET(BB45,0,-1)</f>
        <v>4</v>
      </c>
      <c s="1454">
        <f ca="1">OFFSET(BC45,0,-1)+1</f>
        <v>5</v>
      </c>
      <c s="514"/>
      <c s="514"/>
      <c s="514"/>
      <c s="514"/>
      <c s="514"/>
      <c s="499">
        <v>0</v>
      </c>
    </row>
    <row r="46" spans="1:61" ht="22.05" customHeight="1">
      <c r="A46" s="1366" t="s">
        <v>246</v>
      </c>
      <c s="1366"/>
      <c s="1366"/>
      <c s="1366"/>
      <c s="2261">
        <v>1</v>
      </c>
      <c s="1366"/>
      <c s="1366"/>
      <c s="1366"/>
      <c s="1366"/>
      <c s="1366"/>
      <c s="1366"/>
      <c s="1367"/>
      <c s="1368"/>
      <c s="1368"/>
      <c s="1368"/>
      <c s="1412"/>
      <c s="876"/>
      <c s="358"/>
      <c s="1460">
        <f>INDEX(PT_DIFFERENTIATION_NUM_NTAR,MATCH(A46,PT_DIFFERENTIATION_NTAR_ID,0))</f>
        <v>0</v>
      </c>
      <c s="301" t="s">
        <v>125</v>
      </c>
      <c s="303"/>
      <c s="2246"/>
      <c s="2246"/>
      <c s="2246"/>
      <c s="2246"/>
      <c s="2246"/>
      <c s="2246"/>
      <c s="2246"/>
      <c s="2247"/>
      <c s="2245" t="str">
        <f>INDEX(PT_DIFFERENTIATION_NTAR,MATCH(A46,PT_DIFFERENTIATION_NTAR_ID,0))</f>
        <v/>
      </c>
      <c s="2246"/>
      <c s="2246"/>
      <c s="2246"/>
      <c s="2246"/>
      <c s="2246"/>
      <c s="2246"/>
      <c s="2246"/>
      <c s="2246"/>
      <c s="2246"/>
      <c s="2246"/>
      <c s="2246"/>
      <c s="2246"/>
      <c s="2246"/>
      <c s="2246"/>
      <c s="2246"/>
      <c s="2246"/>
      <c s="2246"/>
      <c s="2246"/>
      <c s="2246"/>
      <c s="2246"/>
      <c s="2246"/>
      <c s="2246"/>
      <c s="2246"/>
      <c s="2247"/>
      <c s="126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503"/>
      <c s="503" t="str">
        <f>IF(T46="","",T46)</f>
        <v>Наименование тарифа</v>
      </c>
      <c s="503"/>
      <c s="503"/>
      <c s="1158">
        <v>21</v>
      </c>
    </row>
    <row r="47" spans="1:61" ht="22.05" customHeight="1">
      <c r="A47" s="1366" t="s">
        <v>246</v>
      </c>
      <c s="1366" t="s">
        <v>247</v>
      </c>
      <c s="1366"/>
      <c s="1366"/>
      <c s="2262"/>
      <c s="2261">
        <v>1</v>
      </c>
      <c s="1366"/>
      <c s="1366"/>
      <c s="1366"/>
      <c s="1366"/>
      <c s="1366"/>
      <c s="1367"/>
      <c s="1368"/>
      <c s="1368"/>
      <c s="1368"/>
      <c s="1413"/>
      <c s="1414"/>
      <c s="356"/>
      <c s="1460" t="str">
        <f>INDEX(PT_DIFFERENTIATION_NUM_TER,MATCH(B47,PT_DIFFERENTIATION_TER_ID,0))</f>
        <v>.</v>
      </c>
      <c s="311" t="s">
        <v>397</v>
      </c>
      <c s="303"/>
      <c s="2246"/>
      <c s="2246"/>
      <c s="2246"/>
      <c s="2246"/>
      <c s="2246"/>
      <c s="2246"/>
      <c s="2246"/>
      <c s="2247"/>
      <c s="2245" t="str">
        <f>INDEX(PT_DIFFERENTIATION_TER,MATCH(B47,PT_DIFFERENTIATION_TER_ID,0))</f>
        <v/>
      </c>
      <c s="2246"/>
      <c s="2246"/>
      <c s="2246"/>
      <c s="2246"/>
      <c s="2246"/>
      <c s="2246"/>
      <c s="2246"/>
      <c s="2246"/>
      <c s="2246"/>
      <c s="2246"/>
      <c s="2246"/>
      <c s="2246"/>
      <c s="2246"/>
      <c s="2246"/>
      <c s="2246"/>
      <c s="2246"/>
      <c s="2246"/>
      <c s="2246"/>
      <c s="2246"/>
      <c s="2246"/>
      <c s="2246"/>
      <c s="2246"/>
      <c s="2246"/>
      <c s="2247"/>
      <c s="1261" t="s">
        <v>398</v>
      </c>
      <c r="BE47" s="503"/>
      <c s="503" t="str">
        <f>IF(T47="","",T47)</f>
        <v>Территория действия тарифа</v>
      </c>
      <c s="503"/>
      <c s="503"/>
      <c s="1158">
        <v>21</v>
      </c>
    </row>
    <row r="48" spans="1:61" ht="43.05" customHeight="1">
      <c r="A48" s="1366" t="s">
        <v>246</v>
      </c>
      <c s="1366" t="s">
        <v>247</v>
      </c>
      <c s="1366" t="s">
        <v>248</v>
      </c>
      <c s="1366"/>
      <c s="2262"/>
      <c s="2262"/>
      <c s="2261">
        <v>1</v>
      </c>
      <c s="1366"/>
      <c s="1366"/>
      <c s="1366"/>
      <c s="1366"/>
      <c s="1367"/>
      <c s="1368"/>
      <c s="1368"/>
      <c s="1368"/>
      <c s="1415"/>
      <c s="1414"/>
      <c s="356"/>
      <c s="1460" t="str">
        <f>INDEX(PT_DIFFERENTIATION_NUM_CS,MATCH(C48,PT_DIFFERENTIATION_CS_ID,0))</f>
        <v>..</v>
      </c>
      <c s="312" t="s">
        <v>481</v>
      </c>
      <c s="303"/>
      <c s="2246"/>
      <c s="2246"/>
      <c s="2246"/>
      <c s="2246"/>
      <c s="2246"/>
      <c s="2246"/>
      <c s="2246"/>
      <c s="2247"/>
      <c s="2245" t="str">
        <f>INDEX(PT_DIFFERENTIATION_CS,MATCH(C48,PT_DIFFERENTIATION_CS_ID,0))</f>
        <v/>
      </c>
      <c s="2246"/>
      <c s="2246"/>
      <c s="2246"/>
      <c s="2246"/>
      <c s="2246"/>
      <c s="2246"/>
      <c s="2246"/>
      <c s="2246"/>
      <c s="2246"/>
      <c s="2246"/>
      <c s="2246"/>
      <c s="2246"/>
      <c s="2246"/>
      <c s="2246"/>
      <c s="2246"/>
      <c s="2246"/>
      <c s="2246"/>
      <c s="2246"/>
      <c s="2246"/>
      <c s="2246"/>
      <c s="2246"/>
      <c s="2246"/>
      <c s="2246"/>
      <c s="2247"/>
      <c s="1261" t="s">
        <v>482</v>
      </c>
      <c r="BE48" s="503"/>
      <c s="503" t="str">
        <f>IF(T48="","",T48)</f>
        <v>Наименование централизованной системы холодного водоснабжения</v>
      </c>
      <c s="503"/>
      <c s="503"/>
      <c s="1158">
        <v>41</v>
      </c>
    </row>
    <row r="49" spans="1:61" s="1645" customFormat="1" ht="0" customHeight="1">
      <c r="A49" s="1346" t="s">
        <v>246</v>
      </c>
      <c s="1346" t="s">
        <v>247</v>
      </c>
      <c s="1346" t="s">
        <v>248</v>
      </c>
      <c s="1346" t="s">
        <v>515</v>
      </c>
      <c s="2262"/>
      <c s="2262"/>
      <c s="2262"/>
      <c s="2261">
        <v>1</v>
      </c>
      <c s="1346"/>
      <c s="1346"/>
      <c s="1346"/>
      <c s="1349"/>
      <c s="1318"/>
      <c s="1318"/>
      <c s="1318"/>
      <c s="1500"/>
      <c s="1501"/>
      <c s="360"/>
      <c s="1045"/>
      <c s="1502"/>
      <c s="1387"/>
      <c s="2300"/>
      <c s="2300"/>
      <c s="2300"/>
      <c s="2300"/>
      <c s="2300"/>
      <c s="2300"/>
      <c s="2300"/>
      <c s="2301"/>
      <c s="2299"/>
      <c s="2300"/>
      <c s="2300"/>
      <c s="2300"/>
      <c s="2300"/>
      <c s="2300"/>
      <c s="2300"/>
      <c s="2300"/>
      <c s="2300"/>
      <c s="2300"/>
      <c s="2300"/>
      <c s="2300"/>
      <c s="2300"/>
      <c s="2300"/>
      <c s="2300"/>
      <c s="2300"/>
      <c s="2300"/>
      <c s="2300"/>
      <c s="2300"/>
      <c s="2300"/>
      <c s="2300"/>
      <c s="2300"/>
      <c s="2300"/>
      <c s="2300"/>
      <c s="2301"/>
      <c s="1388" t="s">
        <v>402</v>
      </c>
      <c r="BE49" s="503"/>
      <c s="503" t="str">
        <f>IF(T49="","",T49)</f>
        <v/>
      </c>
      <c s="503"/>
      <c s="503"/>
      <c s="514">
        <v>0</v>
      </c>
    </row>
    <row r="50" spans="1:61" s="1645" customFormat="1" ht="0" customHeight="1">
      <c r="A50" s="1346" t="s">
        <v>246</v>
      </c>
      <c s="1346" t="s">
        <v>247</v>
      </c>
      <c s="1346" t="s">
        <v>248</v>
      </c>
      <c s="1346" t="s">
        <v>515</v>
      </c>
      <c s="2262"/>
      <c s="2262"/>
      <c s="2262"/>
      <c s="2262"/>
      <c s="2259" t="str">
        <f>S49&amp;".1"</f>
        <v>.1</v>
      </c>
      <c s="1346"/>
      <c s="1346"/>
      <c s="1349" t="s">
        <v>403</v>
      </c>
      <c s="513"/>
      <c s="513"/>
      <c s="513"/>
      <c s="2260">
        <v>1</v>
      </c>
      <c s="1465"/>
      <c s="359"/>
      <c s="1045"/>
      <c s="1386"/>
      <c s="1387"/>
      <c s="2300"/>
      <c s="2300"/>
      <c s="2300"/>
      <c s="2300"/>
      <c s="2300"/>
      <c s="2300"/>
      <c s="2300"/>
      <c s="2301"/>
      <c s="2299"/>
      <c s="2300"/>
      <c s="2300"/>
      <c s="2300"/>
      <c s="2300"/>
      <c s="2300"/>
      <c s="2300"/>
      <c s="2300"/>
      <c s="2300"/>
      <c s="2300"/>
      <c s="2300"/>
      <c s="2300"/>
      <c s="2300"/>
      <c s="2300"/>
      <c s="2300"/>
      <c s="2300"/>
      <c s="2300"/>
      <c s="2300"/>
      <c s="2300"/>
      <c s="2300"/>
      <c s="2300"/>
      <c s="2300"/>
      <c s="2300"/>
      <c s="2300"/>
      <c s="2301"/>
      <c s="1388"/>
      <c r="BE50" s="503"/>
      <c s="503" t="str">
        <f>IF(T50="","",T50)</f>
        <v/>
      </c>
      <c s="503"/>
      <c s="503"/>
      <c s="514">
        <v>0</v>
      </c>
    </row>
    <row r="51" spans="1:61" s="1645" customFormat="1" ht="0" customHeight="1">
      <c r="A51" s="1346" t="s">
        <v>246</v>
      </c>
      <c s="1346" t="s">
        <v>247</v>
      </c>
      <c s="1346" t="s">
        <v>248</v>
      </c>
      <c s="1346" t="s">
        <v>515</v>
      </c>
      <c s="2262"/>
      <c s="2262"/>
      <c s="2262"/>
      <c s="2262"/>
      <c s="2289"/>
      <c s="2259" t="str">
        <f>S49&amp;".1"</f>
        <v>.1</v>
      </c>
      <c s="1346"/>
      <c s="1349"/>
      <c s="513"/>
      <c s="513"/>
      <c s="513"/>
      <c s="2260"/>
      <c s="2260">
        <v>1</v>
      </c>
      <c s="360"/>
      <c s="1045"/>
      <c s="1402"/>
      <c s="1387"/>
      <c s="2300"/>
      <c s="2300"/>
      <c s="2300"/>
      <c s="2300"/>
      <c s="2300"/>
      <c s="2300"/>
      <c s="2300"/>
      <c s="2301"/>
      <c s="2299"/>
      <c s="2300"/>
      <c s="2300"/>
      <c s="2300"/>
      <c s="2300"/>
      <c s="2300"/>
      <c s="2300"/>
      <c s="2300"/>
      <c s="2300"/>
      <c s="2300"/>
      <c s="2367"/>
      <c s="2367"/>
      <c s="2300"/>
      <c s="2300"/>
      <c s="2300"/>
      <c s="2300"/>
      <c s="2300"/>
      <c s="2300"/>
      <c s="2300"/>
      <c s="2300"/>
      <c s="2300"/>
      <c s="2300"/>
      <c s="2300"/>
      <c s="2300"/>
      <c s="2301"/>
      <c s="1388"/>
      <c r="BE51" s="503"/>
      <c s="503" t="str">
        <f>IF(T51="","",T51)</f>
        <v/>
      </c>
      <c s="503"/>
      <c s="503"/>
      <c s="514">
        <v>0</v>
      </c>
    </row>
    <row r="52" spans="1:61" ht="11.55" customHeight="1">
      <c r="A52" s="1366" t="s">
        <v>246</v>
      </c>
      <c s="1366" t="s">
        <v>247</v>
      </c>
      <c s="1366" t="s">
        <v>248</v>
      </c>
      <c s="1366" t="s">
        <v>515</v>
      </c>
      <c s="2262"/>
      <c s="2262"/>
      <c s="2262"/>
      <c s="2262"/>
      <c s="2289"/>
      <c s="2289"/>
      <c s="2259" t="str">
        <f>S48&amp;".1"</f>
        <v>...1</v>
      </c>
      <c s="1367"/>
      <c r="P52" s="2260"/>
      <c s="2260"/>
      <c s="360">
        <v>1</v>
      </c>
      <c s="2344" t="str">
        <f>$K52</f>
        <v>...1</v>
      </c>
      <c s="2363"/>
      <c s="303"/>
      <c s="754"/>
      <c s="1260"/>
      <c s="754"/>
      <c s="1260"/>
      <c s="1737"/>
      <c s="1462" t="s">
        <v>65</v>
      </c>
      <c s="1737"/>
      <c s="1462" t="s">
        <v>65</v>
      </c>
      <c s="2188" t="s">
        <v>65</v>
      </c>
      <c s="2329"/>
      <c s="2208">
        <v>1</v>
      </c>
      <c s="2366"/>
      <c s="2110" t="s">
        <v>65</v>
      </c>
      <c s="2329"/>
      <c s="2208">
        <v>1</v>
      </c>
      <c s="2330" t="s">
        <v>22</v>
      </c>
      <c s="2110" t="s">
        <v>65</v>
      </c>
      <c s="2195"/>
      <c s="2208">
        <v>1</v>
      </c>
      <c s="2360"/>
      <c s="2361" t="s">
        <v>65</v>
      </c>
      <c s="314"/>
      <c s="1466">
        <v>1</v>
      </c>
      <c s="1469" t="s">
        <v>22</v>
      </c>
      <c s="754"/>
      <c s="1260"/>
      <c s="754"/>
      <c s="1260"/>
      <c s="1737"/>
      <c s="1462" t="s">
        <v>65</v>
      </c>
      <c s="1737"/>
      <c s="1462" t="s">
        <v>65</v>
      </c>
      <c s="1351"/>
      <c s="2256" t="s">
        <v>501</v>
      </c>
      <c r="BE52" s="503"/>
      <c s="503" t="str">
        <f>IF(T52="","",T52)</f>
        <v/>
      </c>
      <c s="503"/>
      <c s="503"/>
      <c s="1158">
        <v>11</v>
      </c>
    </row>
    <row r="53" spans="1:61" ht="11.55" customHeight="1">
      <c r="A53" s="1366"/>
      <c s="1366"/>
      <c s="1366"/>
      <c s="1366"/>
      <c s="2262"/>
      <c s="2262"/>
      <c s="2262"/>
      <c s="2262"/>
      <c s="2289"/>
      <c s="2289"/>
      <c s="2259"/>
      <c s="1367"/>
      <c r="P53" s="2260"/>
      <c s="2260"/>
      <c s="360"/>
      <c s="2345"/>
      <c s="2364"/>
      <c s="303"/>
      <c s="1396"/>
      <c s="1499"/>
      <c s="1396"/>
      <c s="1499"/>
      <c s="1396"/>
      <c s="1396"/>
      <c s="1396"/>
      <c s="1396"/>
      <c s="2189"/>
      <c s="2329"/>
      <c s="2208"/>
      <c s="2366"/>
      <c s="2110"/>
      <c s="2329"/>
      <c s="2208"/>
      <c s="2330"/>
      <c s="2110"/>
      <c s="2203"/>
      <c s="2208"/>
      <c s="2360"/>
      <c s="2362"/>
      <c s="319"/>
      <c s="419"/>
      <c s="419" t="s">
        <v>502</v>
      </c>
      <c s="1396"/>
      <c s="1499"/>
      <c s="1396"/>
      <c s="1499"/>
      <c s="1396"/>
      <c s="1396"/>
      <c s="1396"/>
      <c s="1396"/>
      <c s="1400"/>
      <c s="2257"/>
      <c r="BE53" s="503"/>
      <c s="503"/>
      <c s="503"/>
      <c s="503"/>
      <c s="1158">
        <v>11</v>
      </c>
    </row>
    <row r="54" spans="1:61" ht="11.55" customHeight="1">
      <c r="A54" s="1366" t="s">
        <v>246</v>
      </c>
      <c s="1366"/>
      <c s="1366"/>
      <c s="1366"/>
      <c s="2262"/>
      <c s="2262"/>
      <c s="2262"/>
      <c s="2262"/>
      <c s="2289"/>
      <c s="2289"/>
      <c s="2259"/>
      <c s="1367"/>
      <c r="P54" s="2260"/>
      <c s="2260"/>
      <c s="360"/>
      <c s="2345"/>
      <c s="2364"/>
      <c s="303"/>
      <c s="1396"/>
      <c s="1499"/>
      <c s="1396"/>
      <c s="1499"/>
      <c s="1396"/>
      <c s="1396"/>
      <c s="1396"/>
      <c s="1396"/>
      <c s="2189"/>
      <c s="2329"/>
      <c s="2208"/>
      <c s="2366"/>
      <c s="2110"/>
      <c s="2329"/>
      <c s="2208"/>
      <c s="2330"/>
      <c s="2110"/>
      <c s="319"/>
      <c s="1503"/>
      <c s="1503" t="s">
        <v>503</v>
      </c>
      <c s="419"/>
      <c s="419"/>
      <c s="419"/>
      <c s="1396"/>
      <c s="1396"/>
      <c s="1499"/>
      <c s="1396"/>
      <c s="1499"/>
      <c s="1396"/>
      <c s="1396"/>
      <c s="1396"/>
      <c s="1396"/>
      <c s="1400"/>
      <c s="2257"/>
      <c r="BE54" s="503"/>
      <c s="503"/>
      <c s="503"/>
      <c s="503"/>
      <c s="1158">
        <v>11</v>
      </c>
    </row>
    <row r="55" spans="1:61" ht="11.55" customHeight="1">
      <c r="A55" s="1366" t="s">
        <v>246</v>
      </c>
      <c s="1366"/>
      <c s="1366"/>
      <c s="1366"/>
      <c s="2262"/>
      <c s="2262"/>
      <c s="2262"/>
      <c s="2262"/>
      <c s="2289"/>
      <c s="2289"/>
      <c s="2259"/>
      <c s="1367"/>
      <c r="P55" s="2260"/>
      <c s="2260"/>
      <c s="360"/>
      <c s="2345"/>
      <c s="2364"/>
      <c s="303"/>
      <c s="1396"/>
      <c s="1499"/>
      <c s="1396"/>
      <c s="1499"/>
      <c s="1396"/>
      <c s="1396"/>
      <c s="1396"/>
      <c s="1396"/>
      <c s="2189"/>
      <c s="2329"/>
      <c s="2208"/>
      <c s="2366"/>
      <c s="2110"/>
      <c s="297"/>
      <c s="418"/>
      <c s="316" t="s">
        <v>504</v>
      </c>
      <c s="1396"/>
      <c s="1396"/>
      <c s="1396"/>
      <c s="1396"/>
      <c s="1396"/>
      <c s="1396"/>
      <c s="1396"/>
      <c s="1396"/>
      <c s="1396"/>
      <c s="1499"/>
      <c s="1396"/>
      <c s="1499"/>
      <c s="1396"/>
      <c s="1396"/>
      <c s="1396"/>
      <c s="1396"/>
      <c s="1400"/>
      <c s="2257"/>
      <c r="BE55" s="503"/>
      <c s="503"/>
      <c s="503"/>
      <c s="503"/>
      <c s="1158">
        <v>11</v>
      </c>
    </row>
    <row r="56" spans="1:61" ht="11.55" customHeight="1">
      <c r="A56" s="1366" t="s">
        <v>246</v>
      </c>
      <c s="1366" t="s">
        <v>247</v>
      </c>
      <c s="1366" t="s">
        <v>248</v>
      </c>
      <c s="1366" t="s">
        <v>515</v>
      </c>
      <c s="2262"/>
      <c s="2262"/>
      <c s="2262"/>
      <c s="2262"/>
      <c s="2289"/>
      <c s="2289"/>
      <c s="2259"/>
      <c s="1367"/>
      <c r="P56" s="2260"/>
      <c s="2260"/>
      <c s="360"/>
      <c s="2346"/>
      <c s="2365"/>
      <c s="303"/>
      <c s="1396"/>
      <c s="1397" t="str">
        <f>Z52&amp;"-"&amp;AB52</f>
        <v>-</v>
      </c>
      <c s="1396"/>
      <c s="1397" t="str">
        <f>AB52&amp;"-"&amp;AD52</f>
        <v>-да</v>
      </c>
      <c s="1396"/>
      <c s="1396"/>
      <c s="1396"/>
      <c s="1396"/>
      <c s="2115"/>
      <c s="315"/>
      <c s="317"/>
      <c s="419" t="s">
        <v>505</v>
      </c>
      <c s="1396"/>
      <c s="1396"/>
      <c s="1396"/>
      <c s="1396"/>
      <c s="1396"/>
      <c s="1396"/>
      <c s="1396"/>
      <c s="1396"/>
      <c s="1396"/>
      <c s="1396"/>
      <c s="1396"/>
      <c s="1396"/>
      <c s="1396"/>
      <c s="1397" t="str">
        <f>AX52&amp;"-"&amp;AZ52</f>
        <v>-</v>
      </c>
      <c s="1396"/>
      <c s="1397" t="str">
        <f>AZ52&amp;"-"&amp;BB52</f>
        <v>-</v>
      </c>
      <c s="1396"/>
      <c s="1396"/>
      <c s="1396"/>
      <c s="1396"/>
      <c s="1399" t="str">
        <f>BE52&amp;"-"&amp;BG52</f>
        <v>-</v>
      </c>
      <c s="2257"/>
      <c r="BE56" s="503"/>
      <c s="503" t="str">
        <f>IF(T56="","",T56)</f>
        <v/>
      </c>
      <c s="503"/>
      <c s="503"/>
      <c s="1158">
        <v>11</v>
      </c>
    </row>
    <row r="57" spans="1:61" ht="11.55" customHeight="1">
      <c r="A57" s="1366" t="s">
        <v>246</v>
      </c>
      <c s="1366" t="s">
        <v>247</v>
      </c>
      <c s="1366" t="s">
        <v>248</v>
      </c>
      <c s="1366" t="s">
        <v>515</v>
      </c>
      <c s="2262"/>
      <c s="2262"/>
      <c s="2262"/>
      <c s="2262"/>
      <c s="2289"/>
      <c s="2259"/>
      <c s="1366"/>
      <c s="1367"/>
      <c r="P57" s="2260"/>
      <c s="2260"/>
      <c s="359"/>
      <c s="1281"/>
      <c s="290" t="s">
        <v>468</v>
      </c>
      <c s="370"/>
      <c s="370"/>
      <c s="370"/>
      <c s="370"/>
      <c s="370"/>
      <c s="370"/>
      <c s="370"/>
      <c s="370"/>
      <c s="327"/>
      <c s="1508"/>
      <c s="370"/>
      <c s="370"/>
      <c s="370"/>
      <c s="370"/>
      <c s="370"/>
      <c s="370"/>
      <c s="370"/>
      <c s="370"/>
      <c s="370"/>
      <c s="370"/>
      <c s="370"/>
      <c s="370"/>
      <c s="370"/>
      <c s="370"/>
      <c s="370"/>
      <c s="370"/>
      <c s="370"/>
      <c s="370"/>
      <c s="370"/>
      <c s="370"/>
      <c s="370"/>
      <c s="370"/>
      <c s="370"/>
      <c s="327"/>
      <c s="2258"/>
      <c r="BE57" s="503"/>
      <c s="503" t="str">
        <f>IF(T57="","",T57)</f>
        <v>Добавить строку</v>
      </c>
      <c s="503"/>
      <c s="503"/>
      <c s="1158">
        <v>11</v>
      </c>
    </row>
    <row r="58" spans="1:61" s="1645" customFormat="1" ht="0" customHeight="1">
      <c r="A58" s="1346" t="s">
        <v>246</v>
      </c>
      <c s="1346" t="s">
        <v>247</v>
      </c>
      <c s="1346" t="s">
        <v>248</v>
      </c>
      <c s="1346" t="s">
        <v>515</v>
      </c>
      <c s="2262"/>
      <c s="2262"/>
      <c s="2262"/>
      <c s="2262"/>
      <c s="2259"/>
      <c s="1346"/>
      <c s="1346"/>
      <c s="1349"/>
      <c s="513"/>
      <c s="513"/>
      <c s="513"/>
      <c s="2260"/>
      <c s="1465"/>
      <c s="359"/>
      <c s="1389"/>
      <c s="1390"/>
      <c s="1391"/>
      <c s="1391"/>
      <c s="1391"/>
      <c s="1391"/>
      <c s="1391"/>
      <c s="1391"/>
      <c s="1391"/>
      <c s="1391"/>
      <c s="1391"/>
      <c s="1391"/>
      <c s="1391"/>
      <c s="1391"/>
      <c s="1391"/>
      <c s="1391"/>
      <c s="1391"/>
      <c s="1391"/>
      <c s="1391"/>
      <c s="1391"/>
      <c s="1391"/>
      <c s="1391"/>
      <c s="1391"/>
      <c s="1391"/>
      <c s="1391"/>
      <c s="1391"/>
      <c s="1391"/>
      <c s="1391"/>
      <c s="1391"/>
      <c s="1391"/>
      <c s="1391"/>
      <c s="1391"/>
      <c s="1391"/>
      <c s="1391"/>
      <c s="1391"/>
      <c s="1391"/>
      <c s="1392"/>
      <c r="BE58" s="503"/>
      <c s="503" t="str">
        <f>IF(T58="","",T58)</f>
        <v/>
      </c>
      <c s="503"/>
      <c s="503"/>
      <c s="514">
        <v>0</v>
      </c>
    </row>
    <row r="59" spans="1:61" s="1645" customFormat="1" ht="0" customHeight="1">
      <c r="A59" s="1346" t="s">
        <v>246</v>
      </c>
      <c s="1346" t="s">
        <v>247</v>
      </c>
      <c s="1346" t="s">
        <v>248</v>
      </c>
      <c s="1346" t="s">
        <v>515</v>
      </c>
      <c s="2262"/>
      <c s="2262"/>
      <c s="2262"/>
      <c s="2261"/>
      <c s="1346"/>
      <c s="1346"/>
      <c s="1346"/>
      <c s="1349"/>
      <c s="1318"/>
      <c s="1318"/>
      <c s="521"/>
      <c s="383"/>
      <c s="1347"/>
      <c s="1404"/>
      <c s="1389"/>
      <c s="1390"/>
      <c s="1391"/>
      <c s="1391"/>
      <c s="1391"/>
      <c s="1391"/>
      <c s="1391"/>
      <c s="1391"/>
      <c s="1391"/>
      <c s="1391"/>
      <c s="1391"/>
      <c s="1391"/>
      <c s="1391"/>
      <c s="1391"/>
      <c s="1391"/>
      <c s="1391"/>
      <c s="1391"/>
      <c s="1391"/>
      <c s="1391"/>
      <c s="1391"/>
      <c s="1391"/>
      <c s="1391"/>
      <c s="1391"/>
      <c s="1391"/>
      <c s="1391"/>
      <c s="1391"/>
      <c s="1391"/>
      <c s="1391"/>
      <c s="1391"/>
      <c s="1391"/>
      <c s="1391"/>
      <c s="1391"/>
      <c s="1391"/>
      <c s="1391"/>
      <c s="1391"/>
      <c s="1391"/>
      <c s="1392"/>
      <c r="BE59" s="503"/>
      <c s="503" t="str">
        <f>IF(T59="","",T59)</f>
        <v/>
      </c>
      <c s="503"/>
      <c s="503"/>
      <c s="514">
        <v>0</v>
      </c>
    </row>
    <row r="60" spans="1:61" s="1645" customFormat="1" ht="0" customHeight="1">
      <c r="A60" s="1346" t="s">
        <v>246</v>
      </c>
      <c s="1346" t="s">
        <v>247</v>
      </c>
      <c s="1346" t="s">
        <v>248</v>
      </c>
      <c s="1317"/>
      <c s="2262"/>
      <c s="2262"/>
      <c s="2261"/>
      <c s="1317"/>
      <c s="1317"/>
      <c s="1317"/>
      <c s="1317"/>
      <c s="1467"/>
      <c s="1318"/>
      <c s="1318"/>
      <c r="P60" s="1319"/>
      <c s="1320"/>
      <c s="1319"/>
      <c s="1325"/>
      <c s="1328"/>
      <c s="1327"/>
      <c s="1327"/>
      <c s="1327"/>
      <c s="1327"/>
      <c s="1327"/>
      <c s="1327"/>
      <c s="1327"/>
      <c s="1327"/>
      <c s="1327"/>
      <c s="1327"/>
      <c s="1327"/>
      <c s="1327"/>
      <c s="1327"/>
      <c s="1327"/>
      <c s="1327"/>
      <c s="1327"/>
      <c s="1327"/>
      <c s="1327"/>
      <c s="1327"/>
      <c s="1327"/>
      <c s="1327"/>
      <c s="1327"/>
      <c s="1327"/>
      <c s="1327"/>
      <c s="1327"/>
      <c s="1327"/>
      <c s="1327"/>
      <c s="1327"/>
      <c s="1327"/>
      <c s="1327"/>
      <c s="1327"/>
      <c s="1327"/>
      <c s="1327"/>
      <c s="1327"/>
      <c s="1327"/>
      <c r="BE60" s="792"/>
      <c s="792" t="str">
        <f>IF(T60="","",T60)</f>
        <v/>
      </c>
      <c s="792"/>
      <c s="792"/>
      <c s="521">
        <v>0</v>
      </c>
    </row>
    <row r="61" spans="1:61" s="1645" customFormat="1" ht="0" customHeight="1">
      <c r="A61" s="1346" t="s">
        <v>246</v>
      </c>
      <c s="1346" t="s">
        <v>247</v>
      </c>
      <c s="1317"/>
      <c s="1317"/>
      <c s="2262"/>
      <c s="2261"/>
      <c s="1317"/>
      <c s="1317"/>
      <c s="1317"/>
      <c s="1317"/>
      <c s="1317"/>
      <c s="1467"/>
      <c s="1324"/>
      <c s="1324"/>
      <c r="P61" s="1319"/>
      <c s="1320"/>
      <c s="1319"/>
      <c s="1325"/>
      <c s="1328" t="s">
        <v>415</v>
      </c>
      <c s="1327"/>
      <c s="1327"/>
      <c s="1327"/>
      <c s="1327"/>
      <c s="1327"/>
      <c s="1327"/>
      <c s="1327"/>
      <c s="1327"/>
      <c s="1327"/>
      <c s="1327"/>
      <c s="1327"/>
      <c s="1327"/>
      <c s="1327"/>
      <c s="1327"/>
      <c s="1327"/>
      <c s="1327"/>
      <c s="1327"/>
      <c s="1327"/>
      <c s="1327"/>
      <c s="1327"/>
      <c s="1327"/>
      <c s="1327"/>
      <c s="1327"/>
      <c s="1327"/>
      <c s="1327"/>
      <c s="1327"/>
      <c s="1327"/>
      <c s="1327"/>
      <c s="1327"/>
      <c s="1327"/>
      <c s="1327"/>
      <c s="1327"/>
      <c s="1327"/>
      <c s="1327"/>
      <c s="1327"/>
      <c r="BE61" s="792"/>
      <c s="792" t="str">
        <f>IF(T61="","",T61)</f>
        <v>Добавить централизованную систему для дифференциации</v>
      </c>
      <c s="792"/>
      <c s="792"/>
      <c s="521">
        <v>0</v>
      </c>
    </row>
    <row r="62" spans="1:61" s="1645" customFormat="1" ht="0" customHeight="1">
      <c r="A62" s="1346" t="s">
        <v>246</v>
      </c>
      <c s="1346"/>
      <c s="1346"/>
      <c s="1346"/>
      <c s="2261"/>
      <c s="1346"/>
      <c s="1346"/>
      <c s="1346"/>
      <c s="1346"/>
      <c s="1346"/>
      <c s="1346"/>
      <c s="1349"/>
      <c s="1324"/>
      <c s="1324"/>
      <c s="521"/>
      <c s="383"/>
      <c s="1347"/>
      <c s="383"/>
      <c s="1325"/>
      <c s="1328" t="s">
        <v>416</v>
      </c>
      <c s="1327"/>
      <c s="1327"/>
      <c s="1327"/>
      <c s="1327"/>
      <c s="1327"/>
      <c s="1327"/>
      <c s="1327"/>
      <c s="1327"/>
      <c s="1327"/>
      <c s="1327"/>
      <c s="1327"/>
      <c s="1327"/>
      <c s="1327"/>
      <c s="1327"/>
      <c s="1327"/>
      <c s="1327"/>
      <c s="1327"/>
      <c s="1327"/>
      <c s="1327"/>
      <c s="1327"/>
      <c s="1327"/>
      <c s="1327"/>
      <c s="1327"/>
      <c s="1327"/>
      <c s="1327"/>
      <c s="1327"/>
      <c s="1327"/>
      <c s="1327"/>
      <c s="1327"/>
      <c s="1327"/>
      <c s="1327"/>
      <c s="1327"/>
      <c s="1327"/>
      <c s="1327"/>
      <c s="1327"/>
      <c r="BE62" s="503"/>
      <c s="503" t="str">
        <f>IF(T62="","",T62)</f>
        <v>Добавить территорию для дифференциации</v>
      </c>
      <c s="503"/>
      <c s="503"/>
      <c s="514">
        <v>0</v>
      </c>
    </row>
    <row r="63" spans="1:61" s="1645" customFormat="1" ht="0" customHeight="1">
      <c r="A63" s="1317"/>
      <c s="1317"/>
      <c s="1317"/>
      <c s="1317"/>
      <c s="1346"/>
      <c s="1317"/>
      <c s="1317"/>
      <c s="1317"/>
      <c s="1317"/>
      <c s="1317"/>
      <c s="1317"/>
      <c s="1467"/>
      <c s="1324"/>
      <c s="1324"/>
      <c r="P63" s="1319"/>
      <c s="1320"/>
      <c s="1319"/>
      <c s="1325"/>
      <c s="1328" t="s">
        <v>448</v>
      </c>
      <c s="1327"/>
      <c s="1327"/>
      <c s="1327"/>
      <c s="1327"/>
      <c s="1327"/>
      <c s="1327"/>
      <c s="1327"/>
      <c s="1327"/>
      <c s="1327"/>
      <c s="1327"/>
      <c s="1327"/>
      <c s="1327"/>
      <c s="1327"/>
      <c s="1327"/>
      <c s="1327"/>
      <c s="1327"/>
      <c s="1327"/>
      <c s="1327"/>
      <c s="1327"/>
      <c s="1327"/>
      <c s="1327"/>
      <c s="1327"/>
      <c s="1327"/>
      <c s="1327"/>
      <c s="1327"/>
      <c s="1327"/>
      <c s="1327"/>
      <c s="1327"/>
      <c s="1327"/>
      <c s="1327"/>
      <c s="1327"/>
      <c s="1327"/>
      <c s="1327"/>
      <c s="1327"/>
      <c s="1327"/>
      <c r="BE63" s="792"/>
      <c s="792" t="str">
        <f>IF(T63="","",T63)</f>
        <v>Добавить наименование тарифа</v>
      </c>
      <c s="792"/>
      <c s="792"/>
      <c s="521">
        <v>0</v>
      </c>
    </row>
    <row r="64" spans="13:19 56:61" ht="11.55" customHeight="1">
      <c r="M64" s="1163"/>
      <c s="1163"/>
      <c s="540"/>
      <c s="1163"/>
      <c s="1163"/>
      <c s="1158"/>
      <c s="1158"/>
      <c r="BD64" s="1158"/>
      <c s="1158"/>
      <c s="1158"/>
      <c s="1158"/>
      <c s="1158"/>
      <c s="1158">
        <v>11</v>
      </c>
    </row>
    <row r="65" spans="15:61" ht="19.95" customHeight="1">
      <c r="O65" s="540"/>
      <c r="S65" s="1256"/>
      <c s="2288"/>
      <c s="2288"/>
      <c s="2288"/>
      <c s="2288"/>
      <c s="2288"/>
      <c s="2288"/>
      <c s="2288"/>
      <c s="2288"/>
      <c s="2288"/>
      <c s="2288"/>
      <c s="2288"/>
      <c s="2288"/>
      <c s="2288"/>
      <c s="2288"/>
      <c s="2288"/>
      <c s="2288"/>
      <c s="2288"/>
      <c s="2288"/>
      <c s="2288"/>
      <c s="2288"/>
      <c s="2288"/>
      <c s="2288"/>
      <c s="2288"/>
      <c s="2288"/>
      <c s="2288"/>
      <c s="2288"/>
      <c s="2288"/>
      <c s="2288"/>
      <c s="2288"/>
      <c s="2288"/>
      <c s="2288"/>
      <c s="2288"/>
      <c s="2288"/>
      <c s="2288"/>
      <c s="2288"/>
      <c s="2288"/>
      <c r="BI65" s="1158">
        <v>19</v>
      </c>
    </row>
    <row r="66" spans="15:61" ht="14.7" customHeight="1">
      <c r="O66" s="540"/>
      <c r="T66" s="1452"/>
      <c s="1452"/>
      <c s="1452"/>
      <c s="1452"/>
      <c s="1452"/>
      <c s="1452"/>
      <c s="1452"/>
      <c s="1452"/>
      <c s="1452"/>
      <c s="1452"/>
      <c s="1452"/>
      <c s="1452"/>
      <c s="1452"/>
      <c s="1452"/>
      <c s="1452"/>
      <c s="1452"/>
      <c s="1452"/>
      <c s="1452"/>
      <c s="1452"/>
      <c s="1452"/>
      <c s="1452"/>
      <c s="1452"/>
      <c s="1452"/>
      <c s="1452"/>
      <c s="1452"/>
      <c s="1452"/>
      <c s="1452"/>
      <c s="1452"/>
      <c s="1452"/>
      <c s="1452"/>
      <c s="1452"/>
      <c s="1452"/>
      <c s="1452"/>
      <c s="1452"/>
      <c s="1452"/>
      <c s="1452"/>
      <c r="BI66" s="1158">
        <v>14</v>
      </c>
    </row>
    <row r="67" spans="15:61" ht="19.95" customHeight="1">
      <c r="O67" s="540"/>
      <c r="S67" s="1256"/>
      <c s="2288"/>
      <c s="2288"/>
      <c s="2288"/>
      <c s="2288"/>
      <c s="2288"/>
      <c s="2288"/>
      <c s="2288"/>
      <c s="2288"/>
      <c s="2288"/>
      <c s="2288"/>
      <c s="2288"/>
      <c s="2288"/>
      <c s="2288"/>
      <c s="2288"/>
      <c s="2288"/>
      <c s="2288"/>
      <c s="2288"/>
      <c s="2288"/>
      <c s="2288"/>
      <c s="2288"/>
      <c s="2288"/>
      <c s="2288"/>
      <c s="2288"/>
      <c s="2288"/>
      <c s="2288"/>
      <c s="2288"/>
      <c s="2288"/>
      <c s="2288"/>
      <c s="2288"/>
      <c s="2288"/>
      <c s="2288"/>
      <c s="2288"/>
      <c s="2288"/>
      <c s="2288"/>
      <c s="2288"/>
      <c s="2288"/>
      <c r="BI67" s="1158">
        <v>19</v>
      </c>
    </row>
    <row r="68" spans="15:15 61:61" ht="14.7" customHeight="1">
      <c r="O68" s="540"/>
      <c r="BI68" s="1158">
        <v>14</v>
      </c>
    </row>
    <row r="69" spans="1:61" ht="14.25" customHeight="1" hidden="1">
      <c r="A69" s="1163" t="s">
        <v>81</v>
      </c>
      <c s="1163">
        <v>0</v>
      </c>
      <c s="1163">
        <v>0</v>
      </c>
      <c s="1163">
        <v>0</v>
      </c>
      <c s="1163">
        <v>0</v>
      </c>
      <c s="1163">
        <v>0</v>
      </c>
      <c s="1163">
        <v>0</v>
      </c>
      <c s="1163">
        <v>0</v>
      </c>
      <c s="1163">
        <v>0</v>
      </c>
      <c s="1163">
        <v>0</v>
      </c>
      <c s="1163">
        <v>0</v>
      </c>
      <c s="1464">
        <v>0</v>
      </c>
      <c s="1365">
        <v>0</v>
      </c>
      <c s="1365">
        <v>0</v>
      </c>
      <c s="1365">
        <v>0</v>
      </c>
      <c s="1365">
        <v>0</v>
      </c>
      <c s="1374">
        <v>0</v>
      </c>
      <c s="347">
        <v>3</v>
      </c>
      <c s="584">
        <v>12</v>
      </c>
      <c s="1158">
        <v>31</v>
      </c>
      <c s="1158">
        <v>0</v>
      </c>
      <c s="1158">
        <v>0</v>
      </c>
      <c s="1158">
        <v>0</v>
      </c>
      <c s="1158">
        <v>0</v>
      </c>
      <c s="1158">
        <v>0</v>
      </c>
      <c s="1158">
        <v>0</v>
      </c>
      <c s="1158">
        <v>0</v>
      </c>
      <c s="1158">
        <v>0</v>
      </c>
      <c s="1158">
        <v>0</v>
      </c>
      <c s="1158">
        <v>3</v>
      </c>
      <c s="1158">
        <v>3</v>
      </c>
      <c s="1158">
        <v>3</v>
      </c>
      <c s="1158">
        <v>24</v>
      </c>
      <c s="1158">
        <v>3</v>
      </c>
      <c s="1158">
        <v>3</v>
      </c>
      <c s="1158">
        <v>3</v>
      </c>
      <c s="1158">
        <v>24</v>
      </c>
      <c s="1158">
        <v>3</v>
      </c>
      <c s="1158">
        <v>3</v>
      </c>
      <c s="1158">
        <v>3</v>
      </c>
      <c s="1158">
        <v>18</v>
      </c>
      <c s="1158">
        <v>3</v>
      </c>
      <c s="1158">
        <v>3</v>
      </c>
      <c s="1158">
        <v>3</v>
      </c>
      <c s="1158">
        <v>18</v>
      </c>
      <c s="1158">
        <v>21</v>
      </c>
      <c s="1158">
        <v>21</v>
      </c>
      <c s="1158">
        <v>21</v>
      </c>
      <c s="1158">
        <v>21</v>
      </c>
      <c s="1158">
        <v>11</v>
      </c>
      <c s="1158">
        <v>3</v>
      </c>
      <c s="1158">
        <v>11</v>
      </c>
      <c s="1158">
        <v>0</v>
      </c>
      <c s="1158">
        <v>4</v>
      </c>
      <c s="1158">
        <v>115</v>
      </c>
      <c s="514">
        <v>10</v>
      </c>
      <c s="514">
        <v>10</v>
      </c>
      <c s="514">
        <v>10</v>
      </c>
      <c s="514">
        <v>10</v>
      </c>
      <c s="514">
        <v>10</v>
      </c>
      <c s="1158">
        <v>23</v>
      </c>
    </row>
  </sheetData>
  <sheetProtection formatColumns="0" formatRows="0" insertRows="0" deleteColumns="0" deleteRows="0" sort="0" autoFilter="0"/>
  <mergeCells count="122">
    <mergeCell ref="T67:BC67"/>
    <mergeCell ref="AK52:AK54"/>
    <mergeCell ref="AL52:AL54"/>
    <mergeCell ref="AE52:AE55"/>
    <mergeCell ref="AF52:AF55"/>
    <mergeCell ref="AG52:AG55"/>
    <mergeCell ref="AH52:AH55"/>
    <mergeCell ref="AI52:AI54"/>
    <mergeCell ref="AJ52:AJ54"/>
    <mergeCell ref="BC52:BC57"/>
    <mergeCell ref="T52:T56"/>
    <mergeCell ref="T65:BC65"/>
    <mergeCell ref="E46:E62"/>
    <mergeCell ref="V46:AC46"/>
    <mergeCell ref="AD46:BB46"/>
    <mergeCell ref="F47:F61"/>
    <mergeCell ref="V47:AC47"/>
    <mergeCell ref="AM52:AM53"/>
    <mergeCell ref="AN52:AN53"/>
    <mergeCell ref="AO52:AO53"/>
    <mergeCell ref="AP52:AP53"/>
    <mergeCell ref="AD52:AD56"/>
    <mergeCell ref="G48:G60"/>
    <mergeCell ref="V48:AC48"/>
    <mergeCell ref="AD48:BB48"/>
    <mergeCell ref="H49:H59"/>
    <mergeCell ref="V49:AC49"/>
    <mergeCell ref="AD49:BB49"/>
    <mergeCell ref="AD47:BB47"/>
    <mergeCell ref="I50:I58"/>
    <mergeCell ref="P50:P58"/>
    <mergeCell ref="V50:AC50"/>
    <mergeCell ref="J51:J57"/>
    <mergeCell ref="Q51:Q57"/>
    <mergeCell ref="V51:AC51"/>
    <mergeCell ref="AD51:BB51"/>
    <mergeCell ref="BC40:BC44"/>
    <mergeCell ref="S41:S44"/>
    <mergeCell ref="T41:T44"/>
    <mergeCell ref="AC41:AC44"/>
    <mergeCell ref="AD41:AG44"/>
    <mergeCell ref="AH41:AK44"/>
    <mergeCell ref="X42:Y43"/>
    <mergeCell ref="V41:AB41"/>
    <mergeCell ref="AP41:AS44"/>
    <mergeCell ref="AT41:AZ41"/>
    <mergeCell ref="AT42:AU43"/>
    <mergeCell ref="AV42:AW43"/>
    <mergeCell ref="AX42:AZ43"/>
    <mergeCell ref="AA44:AB44"/>
    <mergeCell ref="AY44:AZ44"/>
    <mergeCell ref="AL41:AO44"/>
    <mergeCell ref="BA41:BA44"/>
    <mergeCell ref="BB41:BB44"/>
    <mergeCell ref="V42:W43"/>
    <mergeCell ref="Z42:AB43"/>
    <mergeCell ref="K52:K56"/>
    <mergeCell ref="S52:S56"/>
    <mergeCell ref="S32:T32"/>
    <mergeCell ref="V32:AB32"/>
    <mergeCell ref="AD32:AZ32"/>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AA45:AB45"/>
    <mergeCell ref="AY45:AZ45"/>
    <mergeCell ref="AD50:BB50"/>
    <mergeCell ref="S29:AZ29"/>
    <mergeCell ref="BC8:BC13"/>
    <mergeCell ref="AK8:AK10"/>
    <mergeCell ref="AL8:AL10"/>
    <mergeCell ref="AE8:AE11"/>
    <mergeCell ref="AF8:AF11"/>
    <mergeCell ref="AG8:AG11"/>
    <mergeCell ref="S31:T31"/>
    <mergeCell ref="V31:AB31"/>
    <mergeCell ref="AD31:AZ31"/>
    <mergeCell ref="AD7:BB7"/>
    <mergeCell ref="K8:K12"/>
    <mergeCell ref="R8:R12"/>
    <mergeCell ref="S8:S12"/>
    <mergeCell ref="T8:T12"/>
    <mergeCell ref="AH8:AH11"/>
    <mergeCell ref="AI8:AI10"/>
    <mergeCell ref="AJ8:AJ10"/>
    <mergeCell ref="S28:AZ28"/>
    <mergeCell ref="E2:E18"/>
    <mergeCell ref="V2:AC2"/>
    <mergeCell ref="AD2:BB2"/>
    <mergeCell ref="F3:F17"/>
    <mergeCell ref="V3:AC3"/>
    <mergeCell ref="AD3:BB3"/>
    <mergeCell ref="G4:G16"/>
    <mergeCell ref="V4:AC4"/>
    <mergeCell ref="AD4:BB4"/>
    <mergeCell ref="H5:H15"/>
    <mergeCell ref="AM8:AM9"/>
    <mergeCell ref="AN8:AN9"/>
    <mergeCell ref="AO8:AO9"/>
    <mergeCell ref="AP8:AP9"/>
    <mergeCell ref="AD8:AD12"/>
    <mergeCell ref="V5:AC5"/>
    <mergeCell ref="AD5:BB5"/>
    <mergeCell ref="I6:I14"/>
    <mergeCell ref="P6:P14"/>
    <mergeCell ref="V6:AC6"/>
    <mergeCell ref="AD6:BB6"/>
    <mergeCell ref="J7:J13"/>
    <mergeCell ref="Q7:Q13"/>
    <mergeCell ref="V7:AC7"/>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prompt="Выберите значение из списка" errorTitle="Ошибка" error="Выберите значение из списка" sqref="V65588:BB65588 V983092:BB983092 V917556:BB917556 V852020:BB852020 V786484:BB786484 V720948:BB720948 V655412:BB655412 V589876:BB589876 V524340:BB524340 V458804:BB458804 V393268:BB393268 V327732:BB327732 V262196:BB262196 V196660:BB196660 V131124:BB131124">
      <formula1>kind_of_cons</formula1>
    </dataValidation>
    <dataValidation type="decimal" allowBlank="1" showErrorMessage="1" errorTitle="Ошибка" error="Допускается ввод только действительных чисел!" sqref="AG8:AG11 AO52:AO53 AO8:AO9 AG52:AG55">
      <formula1>-0999999999999999000000000</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8 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T8:T12 BC65583:BC65590 BC131119:BC131126 BC196655:BC196662 BC262191:BC262198 BC327727:BC327734 BC393263:BC393270 BC458799:BC458806 BC524335:BC524342 BC589871:BC589878 BC655407:BC655414 BC720943:BC720950 BC786479:BC786486 BC852015:BC852022 BC917551:BC917558 BC983087:BC983094 AS8 AS52 T52:T56">
      <formula1>900</formula1>
    </dataValidation>
    <dataValidation allowBlank="1" promptTitle="checkPeriodRange" sqref="W12 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8 Z65589 Z131125 Z196661 Z262197 Z327733 Z393269 Z458805 Z524341 Z589877 Z655413 Z720949 Z786485 Z852021 Z917557 Z983093 AB65589 AB131125 AB196661 AB262197 AB327733 AB393269 AB458805 AB524341 AB589877 AB655413 AB720949 AB786485 AB852021 AB917557 AB983093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65587:AS65587 AD917555:AS917555 AD983091:AS983091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 right="0.7" top="0.75" bottom="0.75" header="0.3" footer="0.3"/>
  <pageSetup orientation="portrait"/>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m="http://schemas.microsoft.com/office/excel/2006/main" xmlns:x14ac="http://schemas.microsoft.com/office/spreadsheetml/2009/9/ac" xmlns:xr="http://schemas.microsoft.com/office/spreadsheetml/2014/revision" xmlns:xr2="http://schemas.microsoft.com/office/spreadsheetml/2015/revision2" xmlns:xr3="http://schemas.microsoft.com/office/spreadsheetml/2016/revision3" xr:uid="{82A287CF-2482-EFB7-967A-2120242EFCB2}" mc:Ignorable="x14ac xr xr2 xr3">
  <sheetPr>
    <tabColor theme="6" tint="0.400000005960464"/>
  </sheetPr>
  <dimension ref="A1:AQ58"/>
  <sheetViews>
    <sheetView showGridLines="0" zoomScale="90" zoomScaleNormal="90" workbookViewId="0" topLeftCell="A1">
      <pane xSplit="28" ySplit="40" topLeftCell="AC41" activePane="bottomRight" state="frozen"/>
      <selection pane="topLeft" activeCell="A1" sqref="A1"/>
      <selection pane="bottomLeft" activeCell="A41" sqref="A41"/>
      <selection pane="topRight" activeCell="AC1" sqref="AC1"/>
      <selection pane="bottomRight" activeCell="A1" sqref="A1"/>
    </sheetView>
  </sheetViews>
  <sheetFormatPr defaultColWidth="10.5742857142857" defaultRowHeight="14.25" customHeight="1"/>
  <cols>
    <col min="1" max="1" width="10.5714285714286" style="1369" hidden="1"/>
    <col min="2" max="2" width="11" style="1369" hidden="1" customWidth="1"/>
    <col min="3" max="3" width="10.5714285714286" style="1369" hidden="1"/>
    <col min="4" max="4" width="11.8571428571429" style="1369" hidden="1" customWidth="1"/>
    <col min="5" max="5" width="10" style="1369" hidden="1" customWidth="1"/>
    <col min="6" max="6" width="8.71428571428571" style="1369" hidden="1" customWidth="1"/>
    <col min="7" max="7" width="7.57142857142857" style="1369" hidden="1" customWidth="1"/>
    <col min="8" max="8" width="11.4285714285714" style="1369" hidden="1" customWidth="1"/>
    <col min="9" max="9" width="14.1428571428571" style="1369" hidden="1" customWidth="1"/>
    <col min="10" max="10" width="9.85714285714286" style="1369" hidden="1" customWidth="1"/>
    <col min="11" max="11" width="14.7142857142857" style="1369" hidden="1" customWidth="1"/>
    <col min="12" max="12" width="19.1428571428571" style="2610" hidden="1" customWidth="1"/>
    <col min="13" max="14" width="12.2857142857143" style="1779" hidden="1" customWidth="1"/>
    <col min="15" max="15" width="23.4285714285714" style="1779" hidden="1" customWidth="1"/>
    <col min="16" max="16" width="3" style="2400" customWidth="1"/>
    <col min="17" max="18" width="3" style="347" customWidth="1"/>
    <col min="19" max="19" width="12" style="2410" customWidth="1"/>
    <col min="20" max="20" width="35" style="1638" customWidth="1"/>
    <col min="21" max="21" width="0.142857142857143" style="1638" customWidth="1"/>
    <col min="22" max="24" width="24.7142857142857" style="1638" hidden="1" customWidth="1"/>
    <col min="25" max="25" width="11.7142857142857" style="1638" hidden="1" customWidth="1"/>
    <col min="26" max="26" width="3.71428571428571" style="1638" hidden="1" customWidth="1"/>
    <col min="27" max="27" width="11.7142857142857" style="1638" hidden="1" customWidth="1"/>
    <col min="28" max="28" width="8.57142857142857" style="1638" hidden="1" customWidth="1"/>
    <col min="29" max="29" width="24.7142857142857" style="1638" customWidth="1"/>
    <col min="30" max="31" width="24" style="1638" customWidth="1"/>
    <col min="32" max="32" width="11" style="1638" customWidth="1"/>
    <col min="33" max="33" width="3.71428571428571" style="1638" customWidth="1"/>
    <col min="34" max="34" width="11" style="1638" customWidth="1"/>
    <col min="35" max="35" width="8.57142857142857" style="1638" hidden="1" customWidth="1"/>
    <col min="36" max="36" width="4" style="1638" customWidth="1"/>
    <col min="37" max="37" width="115" style="1638" customWidth="1"/>
    <col min="38" max="42" width="10" style="1645" customWidth="1"/>
    <col min="43" max="43" width="10.5714285714286" style="1638" hidden="1"/>
  </cols>
  <sheetData>
    <row r="1" spans="24:43" ht="22.5" customHeight="1" hidden="1">
      <c r="X1" s="330"/>
      <c s="330"/>
      <c r="AE1" s="330"/>
      <c s="330"/>
      <c r="AQ1" s="1158" t="s">
        <v>14</v>
      </c>
    </row>
    <row r="2" spans="1:43" ht="23.25" customHeight="1" hidden="1">
      <c r="A2" s="1366"/>
      <c s="1366"/>
      <c s="1366"/>
      <c s="1366"/>
      <c s="2261">
        <v>1</v>
      </c>
      <c s="1366"/>
      <c s="1366"/>
      <c s="1366"/>
      <c s="1366"/>
      <c s="1366"/>
      <c s="1366"/>
      <c s="1367"/>
      <c s="1368"/>
      <c s="1368"/>
      <c s="1368"/>
      <c s="364"/>
      <c s="363"/>
      <c s="358"/>
      <c s="1496">
        <f>INDEX(PT_DIFFERENTIATION_NUM_NTAR,MATCH(A2,PT_DIFFERENTIATION_NTAR_ID,0))</f>
      </c>
      <c s="301" t="s">
        <v>125</v>
      </c>
      <c s="303"/>
      <c s="2245"/>
      <c s="2246"/>
      <c s="2246"/>
      <c s="2246"/>
      <c s="2246"/>
      <c s="2246"/>
      <c s="2247"/>
      <c s="2245">
        <f>INDEX(PT_DIFFERENTIATION_NTAR,MATCH(A2,PT_DIFFERENTIATION_NTAR_ID,0))</f>
      </c>
      <c s="2246"/>
      <c s="2246"/>
      <c s="2246"/>
      <c s="2246"/>
      <c s="2246"/>
      <c s="2246"/>
      <c s="2247"/>
      <c s="126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3"/>
      <c s="503" t="str">
        <f>IF(T2="","",T2)</f>
        <v>Наименование тарифа</v>
      </c>
      <c s="503"/>
      <c s="503"/>
      <c s="1158">
        <v>0</v>
      </c>
    </row>
    <row r="3" spans="1:43" ht="23.25" customHeight="1" hidden="1">
      <c r="A3" s="1366"/>
      <c s="1366"/>
      <c s="1366"/>
      <c s="1366"/>
      <c s="2262"/>
      <c s="2261">
        <v>1</v>
      </c>
      <c s="1366"/>
      <c s="1366"/>
      <c s="1366"/>
      <c s="1366"/>
      <c s="1366"/>
      <c s="1367"/>
      <c s="1368"/>
      <c s="1368"/>
      <c s="1368"/>
      <c s="1490"/>
      <c s="355"/>
      <c s="356"/>
      <c s="1496">
        <f>INDEX(PT_DIFFERENTIATION_NUM_TER,MATCH(B3,PT_DIFFERENTIATION_TER_ID,0))</f>
      </c>
      <c s="311" t="s">
        <v>397</v>
      </c>
      <c s="303"/>
      <c s="2245"/>
      <c s="2246"/>
      <c s="2246"/>
      <c s="2246"/>
      <c s="2246"/>
      <c s="2246"/>
      <c s="2247"/>
      <c s="2245">
        <f>INDEX(PT_DIFFERENTIATION_TER,MATCH(B3,PT_DIFFERENTIATION_TER_ID,0))</f>
      </c>
      <c s="2246"/>
      <c s="2246"/>
      <c s="2246"/>
      <c s="2246"/>
      <c s="2246"/>
      <c s="2246"/>
      <c s="2247"/>
      <c s="1261" t="s">
        <v>398</v>
      </c>
      <c r="AM3" s="503"/>
      <c s="503" t="str">
        <f>IF(T3="","",T3)</f>
        <v>Территория действия тарифа</v>
      </c>
      <c s="503"/>
      <c s="503"/>
      <c s="1158">
        <v>0</v>
      </c>
    </row>
    <row r="4" spans="1:43" ht="23.25" customHeight="1" hidden="1">
      <c r="A4" s="1366"/>
      <c s="1366"/>
      <c s="1366"/>
      <c s="1366"/>
      <c s="2262"/>
      <c s="2262"/>
      <c s="2261">
        <v>1</v>
      </c>
      <c s="1366"/>
      <c s="1366"/>
      <c s="1366"/>
      <c s="1366"/>
      <c s="1367"/>
      <c s="1368"/>
      <c s="1368"/>
      <c s="1368"/>
      <c s="357"/>
      <c s="355"/>
      <c s="356"/>
      <c s="1496">
        <f>INDEX(PT_DIFFERENTIATION_NUM_CS,MATCH(C4,PT_DIFFERENTIATION_CS_ID,0))</f>
      </c>
      <c s="312" t="s">
        <v>516</v>
      </c>
      <c s="303"/>
      <c s="2245"/>
      <c s="2246"/>
      <c s="2246"/>
      <c s="2246"/>
      <c s="2246"/>
      <c s="2246"/>
      <c s="2247"/>
      <c s="2245">
        <f>INDEX(PT_DIFFERENTIATION_CS,MATCH(C4,PT_DIFFERENTIATION_CS_ID,0))</f>
      </c>
      <c s="2246"/>
      <c s="2246"/>
      <c s="2246"/>
      <c s="2246"/>
      <c s="2246"/>
      <c s="2246"/>
      <c s="2247"/>
      <c s="1261" t="s">
        <v>517</v>
      </c>
      <c r="AM4" s="503"/>
      <c s="503" t="str">
        <f>IF(T4="","",T4)</f>
        <v>Наименование централизованной системы водоотведения</v>
      </c>
      <c s="503"/>
      <c s="503"/>
      <c s="1158">
        <v>0</v>
      </c>
    </row>
    <row r="5" spans="1:43" ht="23.25" customHeight="1" hidden="1">
      <c r="A5" s="1366"/>
      <c s="1366"/>
      <c s="1366"/>
      <c s="1366"/>
      <c s="2262"/>
      <c s="2262"/>
      <c s="2262"/>
      <c s="2262"/>
      <c s="2259">
        <f>S4&amp;".1"</f>
      </c>
      <c s="1366"/>
      <c s="1366"/>
      <c s="1367"/>
      <c r="P5" s="2260">
        <v>1</v>
      </c>
      <c s="1484"/>
      <c s="359"/>
      <c s="1496">
        <f>$I5</f>
      </c>
      <c s="288" t="s">
        <v>483</v>
      </c>
      <c s="303"/>
      <c s="2353"/>
      <c s="2354"/>
      <c s="2354"/>
      <c s="2354"/>
      <c s="2354"/>
      <c s="2354"/>
      <c s="2355"/>
      <c s="2356"/>
      <c s="2357"/>
      <c s="2357"/>
      <c s="2357"/>
      <c s="2357"/>
      <c s="2357"/>
      <c s="2357"/>
      <c s="2358"/>
      <c s="1261" t="s">
        <v>484</v>
      </c>
      <c r="AM5" s="503"/>
      <c s="503" t="str">
        <f>IF(T5="","",T5)</f>
        <v>Наименование признака дифференциации</v>
      </c>
      <c s="503"/>
      <c s="503"/>
      <c s="1158">
        <v>0</v>
      </c>
    </row>
    <row r="6" spans="1:43" ht="23.25" customHeight="1" hidden="1">
      <c r="A6" s="1366"/>
      <c s="1366"/>
      <c s="1366"/>
      <c s="1366"/>
      <c s="2262"/>
      <c s="2262"/>
      <c s="2262"/>
      <c s="2262"/>
      <c s="2289"/>
      <c s="2259">
        <f>I5&amp;".1"</f>
      </c>
      <c s="1366"/>
      <c s="1367" t="s">
        <v>406</v>
      </c>
      <c r="P6" s="2260"/>
      <c s="2260">
        <v>1</v>
      </c>
      <c s="360"/>
      <c s="1496">
        <f>$J6</f>
      </c>
      <c s="289" t="s">
        <v>407</v>
      </c>
      <c s="303"/>
      <c s="2248"/>
      <c s="2249"/>
      <c s="2249"/>
      <c s="2249"/>
      <c s="2249"/>
      <c s="2249"/>
      <c s="2250"/>
      <c s="2248"/>
      <c s="2249"/>
      <c s="2249"/>
      <c s="2249"/>
      <c s="2249"/>
      <c s="2249"/>
      <c s="2249"/>
      <c s="2250"/>
      <c s="1310" t="s">
        <v>485</v>
      </c>
      <c r="AM6" s="503"/>
      <c s="503" t="str">
        <f>IF(T6="","",T6)</f>
        <v>Группа потребителей</v>
      </c>
      <c s="503"/>
      <c s="503"/>
      <c s="1158">
        <v>0</v>
      </c>
    </row>
    <row r="7" spans="1:43" ht="23.25" customHeight="1" hidden="1">
      <c r="A7" s="1366"/>
      <c s="1366"/>
      <c s="1366"/>
      <c s="1366"/>
      <c s="2262"/>
      <c s="2262"/>
      <c s="2262"/>
      <c s="2262"/>
      <c s="2289"/>
      <c s="2289"/>
      <c s="2259">
        <f>J6&amp;".1"</f>
      </c>
      <c s="1367"/>
      <c r="P7" s="2260"/>
      <c s="2260"/>
      <c s="360">
        <v>1</v>
      </c>
      <c s="1496">
        <f>$K7</f>
      </c>
      <c s="1440"/>
      <c s="303"/>
      <c s="754"/>
      <c s="754"/>
      <c s="1260"/>
      <c s="2268"/>
      <c s="2110" t="s">
        <v>65</v>
      </c>
      <c s="2268"/>
      <c s="2110" t="s">
        <v>65</v>
      </c>
      <c s="754"/>
      <c s="754"/>
      <c s="1260"/>
      <c s="2268"/>
      <c s="2110" t="s">
        <v>65</v>
      </c>
      <c s="2290"/>
      <c s="2110" t="s">
        <v>65</v>
      </c>
      <c s="1441"/>
      <c s="235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s="514">
        <f>STRCHECKDATE(V8:AJ8)</f>
      </c>
      <c s="503"/>
      <c s="503" t="str">
        <f>IF(T7="","",T7)</f>
        <v/>
      </c>
      <c s="503"/>
      <c s="503"/>
      <c s="1158">
        <v>0</v>
      </c>
    </row>
    <row r="8" spans="1:43" ht="14.25" customHeight="1" hidden="1">
      <c r="A8" s="1366"/>
      <c s="1366"/>
      <c s="1366"/>
      <c s="1366"/>
      <c s="2262"/>
      <c s="2262"/>
      <c s="2262"/>
      <c s="2262"/>
      <c s="2289"/>
      <c s="2289"/>
      <c s="2259"/>
      <c s="1367"/>
      <c r="P8" s="2260"/>
      <c s="2260"/>
      <c s="360"/>
      <c s="1493"/>
      <c s="303"/>
      <c s="303"/>
      <c s="328"/>
      <c s="328"/>
      <c s="331" t="str">
        <f>Y7&amp;"-"&amp;AA7</f>
        <v>-</v>
      </c>
      <c s="2269"/>
      <c s="2110"/>
      <c s="2269"/>
      <c s="2110"/>
      <c s="328"/>
      <c s="328"/>
      <c s="331" t="str">
        <f>AF7&amp;"-"&amp;AH7</f>
        <v>-</v>
      </c>
      <c s="2269"/>
      <c s="2110"/>
      <c s="2291"/>
      <c s="2110"/>
      <c s="1442"/>
      <c s="2352"/>
      <c r="AM8" s="503"/>
      <c s="503" t="str">
        <f>IF(T8="","",T8)</f>
        <v/>
      </c>
      <c s="503"/>
      <c s="503"/>
      <c s="1158">
        <v>0</v>
      </c>
    </row>
    <row r="9" spans="1:43" ht="21" customHeight="1" hidden="1">
      <c r="A9" s="1366"/>
      <c s="1366"/>
      <c s="1366"/>
      <c s="1366"/>
      <c s="2262"/>
      <c s="2262"/>
      <c s="2262"/>
      <c s="2262"/>
      <c s="2289"/>
      <c s="2259"/>
      <c s="1366"/>
      <c s="1367"/>
      <c r="P9" s="2260"/>
      <c s="2260"/>
      <c s="359"/>
      <c s="1281"/>
      <c s="290" t="s">
        <v>486</v>
      </c>
      <c s="370"/>
      <c s="370"/>
      <c s="370"/>
      <c s="370"/>
      <c s="370"/>
      <c s="370"/>
      <c s="370"/>
      <c s="370"/>
      <c s="370"/>
      <c s="370"/>
      <c s="370"/>
      <c s="370"/>
      <c s="370"/>
      <c s="370"/>
      <c s="370"/>
      <c s="370"/>
      <c s="1261" t="s">
        <v>487</v>
      </c>
      <c r="AM9" s="503"/>
      <c s="503" t="str">
        <f>IF(T9="","",T9)</f>
        <v>Добавить значение признака дифференциации</v>
      </c>
      <c s="503"/>
      <c s="503"/>
      <c s="1158">
        <v>0</v>
      </c>
    </row>
    <row r="10" spans="1:43" ht="21" customHeight="1" hidden="1">
      <c r="A10" s="1366"/>
      <c s="1366"/>
      <c s="1366"/>
      <c s="1366"/>
      <c s="2262"/>
      <c s="2262"/>
      <c s="2262"/>
      <c s="2262"/>
      <c s="2259"/>
      <c s="1366"/>
      <c s="1366"/>
      <c s="1367"/>
      <c r="P10" s="2260"/>
      <c s="1484"/>
      <c s="359"/>
      <c s="1281"/>
      <c s="368" t="s">
        <v>412</v>
      </c>
      <c s="370"/>
      <c s="370"/>
      <c s="370"/>
      <c s="370"/>
      <c s="370"/>
      <c s="370"/>
      <c s="370"/>
      <c s="369"/>
      <c s="370"/>
      <c s="370"/>
      <c s="370"/>
      <c s="370"/>
      <c s="370"/>
      <c s="370"/>
      <c s="369"/>
      <c s="370"/>
      <c s="1443"/>
      <c r="AM10" s="503"/>
      <c s="503" t="str">
        <f>IF(T10="","",T10)</f>
        <v>Добавить группу потребителей</v>
      </c>
      <c s="503"/>
      <c s="503"/>
      <c s="1158">
        <v>0</v>
      </c>
    </row>
    <row r="11" spans="1:43" ht="21" customHeight="1" hidden="1">
      <c r="A11" s="1366"/>
      <c s="1366"/>
      <c s="1366"/>
      <c s="1366"/>
      <c s="2262"/>
      <c s="2262"/>
      <c s="2262"/>
      <c s="2261"/>
      <c s="1366"/>
      <c s="1366"/>
      <c s="1366"/>
      <c s="1367"/>
      <c s="1368"/>
      <c s="1368"/>
      <c s="540"/>
      <c s="363"/>
      <c s="378"/>
      <c s="358"/>
      <c s="1281"/>
      <c s="375" t="s">
        <v>488</v>
      </c>
      <c s="370"/>
      <c s="370"/>
      <c s="370"/>
      <c s="370"/>
      <c s="370"/>
      <c s="370"/>
      <c s="370"/>
      <c s="369"/>
      <c s="370"/>
      <c s="370"/>
      <c s="370"/>
      <c s="370"/>
      <c s="370"/>
      <c s="370"/>
      <c s="369"/>
      <c s="370"/>
      <c s="306"/>
      <c r="AM11" s="503"/>
      <c s="503" t="str">
        <f>IF(T11="","",T11)</f>
        <v>Добавить наименование признака дифференциации</v>
      </c>
      <c s="503"/>
      <c s="503"/>
      <c s="1158">
        <v>0</v>
      </c>
    </row>
    <row r="12" spans="1:43" s="1645" customFormat="1" ht="14.25" customHeight="1" hidden="1">
      <c r="A12" s="1346"/>
      <c s="1346"/>
      <c s="1317"/>
      <c s="1317"/>
      <c s="2262"/>
      <c s="2261"/>
      <c s="1317"/>
      <c s="1317"/>
      <c s="1317"/>
      <c s="1317"/>
      <c s="1317"/>
      <c s="1497"/>
      <c s="1324"/>
      <c s="1324"/>
      <c r="P12" s="1319"/>
      <c s="1320"/>
      <c s="1319"/>
      <c s="1325"/>
      <c s="1328" t="s">
        <v>415</v>
      </c>
      <c s="1327"/>
      <c s="1327"/>
      <c s="1327"/>
      <c s="1327"/>
      <c s="1327"/>
      <c s="1327"/>
      <c s="1327"/>
      <c s="1327"/>
      <c s="1327"/>
      <c s="1327"/>
      <c s="1327"/>
      <c s="1327"/>
      <c s="1327"/>
      <c s="1327"/>
      <c s="1327"/>
      <c s="1327"/>
      <c s="1327"/>
      <c r="AM12" s="792"/>
      <c s="792" t="str">
        <f>IF(T12="","",T12)</f>
        <v>Добавить централизованную систему для дифференциации</v>
      </c>
      <c s="792"/>
      <c s="792"/>
      <c s="521">
        <v>0</v>
      </c>
    </row>
    <row r="13" spans="1:43" s="1645" customFormat="1" ht="14.25" customHeight="1" hidden="1">
      <c r="A13" s="1346"/>
      <c s="1346"/>
      <c s="1346"/>
      <c s="1346"/>
      <c s="2261"/>
      <c s="1346"/>
      <c s="1346"/>
      <c s="1346"/>
      <c s="1346"/>
      <c s="1346"/>
      <c s="1346"/>
      <c s="1349"/>
      <c s="1324"/>
      <c s="1324"/>
      <c s="521"/>
      <c s="383"/>
      <c s="1347"/>
      <c s="383"/>
      <c s="1325"/>
      <c s="1328" t="s">
        <v>416</v>
      </c>
      <c s="1327"/>
      <c s="1327"/>
      <c s="1327"/>
      <c s="1327"/>
      <c s="1327"/>
      <c s="1327"/>
      <c s="1327"/>
      <c s="1327"/>
      <c s="1327"/>
      <c s="1327"/>
      <c s="1327"/>
      <c s="1327"/>
      <c s="1327"/>
      <c s="1327"/>
      <c s="1327"/>
      <c s="1327"/>
      <c s="1327"/>
      <c r="AM13" s="503"/>
      <c s="503" t="str">
        <f>IF(T13="","",T13)</f>
        <v>Добавить территорию для дифференциации</v>
      </c>
      <c s="503"/>
      <c s="503"/>
      <c s="514">
        <v>0</v>
      </c>
    </row>
    <row r="14" spans="28:43" ht="14.25" customHeight="1" hidden="1">
      <c r="AB14" s="330"/>
      <c r="AI14" s="330"/>
      <c r="AQ14" s="1158">
        <v>0</v>
      </c>
    </row>
    <row r="15" spans="29:43" ht="14.25" customHeight="1" hidden="1">
      <c r="AC15" s="1363"/>
      <c s="1363"/>
      <c s="1364"/>
      <c s="2270"/>
      <c s="2271" t="s">
        <v>65</v>
      </c>
      <c s="2270"/>
      <c s="2271" t="s">
        <v>65</v>
      </c>
      <c r="AQ15" s="1158">
        <v>0</v>
      </c>
    </row>
    <row r="16" spans="29:43" ht="14.25" customHeight="1" hidden="1">
      <c r="AC16" s="1363"/>
      <c s="1363"/>
      <c s="331" t="str">
        <f>AF15&amp;"-"&amp;AH15</f>
        <v>-</v>
      </c>
      <c s="2271"/>
      <c s="2271"/>
      <c s="2271"/>
      <c s="2271"/>
      <c r="AQ16" s="1158">
        <v>0</v>
      </c>
    </row>
    <row r="17" spans="35:43" ht="14.25" customHeight="1" hidden="1">
      <c r="AI17" s="330"/>
      <c r="AQ17" s="1158">
        <v>0</v>
      </c>
    </row>
    <row r="18" spans="12:43" s="1369" customFormat="1" ht="22.5" customHeight="1" hidden="1">
      <c r="L18" s="1481"/>
      <c s="1365"/>
      <c s="1365"/>
      <c s="1370" t="s">
        <v>417</v>
      </c>
      <c s="1365"/>
      <c s="1374"/>
      <c s="1374"/>
      <c s="732"/>
      <c r="Y18" s="1370"/>
      <c r="AA18" s="1370"/>
      <c s="1369"/>
      <c r="AF18" s="1370"/>
      <c r="AH18" s="1370"/>
      <c s="1369"/>
      <c r="AL18" s="514"/>
      <c s="514"/>
      <c s="514"/>
      <c s="514"/>
      <c s="514"/>
      <c s="1163">
        <v>0</v>
      </c>
    </row>
    <row r="19" spans="12:43" s="1369" customFormat="1" ht="14.25" customHeight="1" hidden="1">
      <c r="L19" s="1481"/>
      <c s="1365"/>
      <c s="1365"/>
      <c s="1365"/>
      <c s="1365"/>
      <c s="1374"/>
      <c s="1374"/>
      <c s="732"/>
      <c r="AB19" s="1369"/>
      <c r="AI19" s="1369"/>
      <c r="AL19" s="514"/>
      <c s="514"/>
      <c s="514"/>
      <c s="514"/>
      <c s="514"/>
      <c s="1163">
        <v>0</v>
      </c>
    </row>
    <row r="20" spans="12:43" s="1369" customFormat="1" ht="12" customHeight="1" hidden="1">
      <c r="L20" s="1481"/>
      <c s="1365"/>
      <c s="1365"/>
      <c s="1367" t="s">
        <v>418</v>
      </c>
      <c s="1365"/>
      <c s="1445"/>
      <c s="1445"/>
      <c s="732"/>
      <c s="1163" t="s">
        <v>419</v>
      </c>
      <c r="Z20" s="189" t="s">
        <v>420</v>
      </c>
      <c r="AB20" s="189" t="s">
        <v>421</v>
      </c>
      <c s="1163" t="s">
        <v>419</v>
      </c>
      <c r="AG20" s="189" t="s">
        <v>422</v>
      </c>
      <c r="AI20" s="189" t="s">
        <v>421</v>
      </c>
      <c r="AQ20" s="1163">
        <v>0</v>
      </c>
    </row>
    <row r="21" spans="15:43" ht="14.25" customHeight="1" hidden="1">
      <c r="O21" s="1367"/>
      <c r="AQ21" s="1158">
        <v>0</v>
      </c>
    </row>
    <row r="22" spans="15:43" ht="14.25" customHeight="1" hidden="1">
      <c r="O22" s="1367"/>
      <c r="AQ22" s="1158">
        <v>0</v>
      </c>
    </row>
    <row r="23" spans="17:43" ht="14.7" customHeight="1">
      <c r="Q23" s="379"/>
      <c s="379"/>
      <c s="1278"/>
      <c s="366"/>
      <c s="366"/>
      <c s="512"/>
      <c s="512"/>
      <c s="512"/>
      <c s="512"/>
      <c s="512"/>
      <c s="512"/>
      <c s="512"/>
      <c s="512"/>
      <c s="512"/>
      <c s="512"/>
      <c s="512"/>
      <c s="512"/>
      <c s="512"/>
      <c s="512"/>
      <c r="AQ23" s="1158">
        <v>14</v>
      </c>
    </row>
    <row r="24" spans="17:43" ht="14.7" customHeight="1">
      <c r="Q24" s="379"/>
      <c s="379"/>
      <c s="2251"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s="2251"/>
      <c s="2251"/>
      <c s="2251"/>
      <c s="2251"/>
      <c s="2251"/>
      <c s="2251"/>
      <c s="2251"/>
      <c s="2251"/>
      <c s="2251"/>
      <c s="2251"/>
      <c s="2251"/>
      <c s="2251"/>
      <c s="2251"/>
      <c s="2251"/>
      <c s="2251"/>
      <c s="1246"/>
      <c r="AQ24" s="1158">
        <v>14</v>
      </c>
    </row>
    <row r="25" spans="17:43" ht="14.7" customHeight="1">
      <c r="Q25" s="379"/>
      <c s="379"/>
      <c s="2252" t="str">
        <f>IF(org=0,"Не определено",org)</f>
        <v>ГУП КК "Кубаньводкомплекс"</v>
      </c>
      <c s="2252"/>
      <c s="2252"/>
      <c s="2252"/>
      <c s="2252"/>
      <c s="2252"/>
      <c s="2252"/>
      <c s="2252"/>
      <c s="2252"/>
      <c s="2252"/>
      <c s="2252"/>
      <c s="2252"/>
      <c s="2252"/>
      <c s="2252"/>
      <c s="2252"/>
      <c s="2252"/>
      <c s="1246"/>
      <c r="AQ25" s="1158">
        <v>14</v>
      </c>
    </row>
    <row r="26" spans="17:43" ht="14.25" customHeight="1" hidden="1">
      <c r="Q26" s="379"/>
      <c s="379"/>
      <c s="1278"/>
      <c s="366"/>
      <c s="366"/>
      <c s="325"/>
      <c s="325"/>
      <c s="325"/>
      <c s="325"/>
      <c s="325"/>
      <c s="325"/>
      <c s="325"/>
      <c s="325"/>
      <c s="325"/>
      <c s="325"/>
      <c s="325"/>
      <c s="325"/>
      <c s="325"/>
      <c s="325"/>
      <c s="512"/>
      <c r="AQ26" s="1158">
        <v>0</v>
      </c>
    </row>
    <row r="27" spans="1:43" s="1856" customFormat="1" ht="25.5" customHeight="1" hidden="1">
      <c r="A27" s="1371"/>
      <c s="1371"/>
      <c s="1371"/>
      <c s="1371"/>
      <c s="1371"/>
      <c s="1371"/>
      <c s="1371"/>
      <c s="1371"/>
      <c s="1371"/>
      <c s="1371"/>
      <c s="1371"/>
      <c s="1372"/>
      <c s="1371"/>
      <c s="1371"/>
      <c s="1371"/>
      <c r="S27" s="2253" t="s">
        <v>42</v>
      </c>
      <c s="2253"/>
      <c s="1375"/>
      <c s="2254" t="str">
        <f>IF(TITLE_NAME_OR_PR_CHANGE="",IF(TITLE_NAME_OR_PR="","",TITLE_NAME_OR_PR),TITLE_NAME_OR_PR_CHANGE)</f>
        <v/>
      </c>
      <c s="2254"/>
      <c s="2254"/>
      <c s="2254"/>
      <c s="2254"/>
      <c s="2254"/>
      <c s="329"/>
      <c s="2254" t="str">
        <f>IF(TITLE_NAME_OR_PR_CHANGE="",IF(TITLE_NAME_OR_PR="","",TITLE_NAME_OR_PR),TITLE_NAME_OR_PR_CHANGE)</f>
        <v/>
      </c>
      <c s="2254"/>
      <c s="2254"/>
      <c s="2254"/>
      <c s="2254"/>
      <c s="2254"/>
      <c s="329"/>
      <c s="329"/>
      <c s="283"/>
      <c s="371"/>
      <c s="371"/>
      <c s="371"/>
      <c s="371"/>
      <c s="371"/>
      <c s="421">
        <v>0</v>
      </c>
    </row>
    <row r="28" spans="1:43" s="1856" customFormat="1" ht="18.75" customHeight="1" hidden="1">
      <c r="A28" s="1371"/>
      <c s="1371"/>
      <c s="1371"/>
      <c s="1371"/>
      <c s="1371"/>
      <c s="1371"/>
      <c s="1371"/>
      <c s="1371"/>
      <c s="1371"/>
      <c s="1371"/>
      <c s="1371"/>
      <c s="1372"/>
      <c s="1371"/>
      <c s="1371"/>
      <c s="1371"/>
      <c r="S28" s="2253" t="s">
        <v>423</v>
      </c>
      <c s="2253"/>
      <c s="1375"/>
      <c s="2267" t="str">
        <f>IF(TITLE_DATE_PR_CHANGE="",IF(TITLE_DATE_PR="","",TITLE_DATE_PR),TITLE_DATE_PR_CHANGE)</f>
        <v/>
      </c>
      <c s="2267"/>
      <c s="2267"/>
      <c s="2267"/>
      <c s="2267"/>
      <c s="2267"/>
      <c s="329"/>
      <c s="2267" t="str">
        <f>IF(TITLE_DATE_PR_CHANGE="",IF(TITLE_DATE_PR="","",TITLE_DATE_PR),TITLE_DATE_PR_CHANGE)</f>
        <v/>
      </c>
      <c s="2267"/>
      <c s="2267"/>
      <c s="2267"/>
      <c s="2267"/>
      <c s="2267"/>
      <c s="329"/>
      <c s="329"/>
      <c s="283"/>
      <c s="371"/>
      <c s="371"/>
      <c s="371"/>
      <c s="371"/>
      <c s="371"/>
      <c s="421">
        <v>0</v>
      </c>
    </row>
    <row r="29" spans="1:43" s="1856" customFormat="1" ht="18.75" customHeight="1" hidden="1">
      <c r="A29" s="1371"/>
      <c s="1371"/>
      <c s="1371"/>
      <c s="1371"/>
      <c s="1371"/>
      <c s="1371"/>
      <c s="1371"/>
      <c s="1371"/>
      <c s="1371"/>
      <c s="1371"/>
      <c s="1371"/>
      <c s="1372"/>
      <c s="1371"/>
      <c s="1371"/>
      <c s="1371"/>
      <c r="S29" s="2253" t="s">
        <v>424</v>
      </c>
      <c s="2253"/>
      <c s="1375"/>
      <c s="2254" t="str">
        <f>IF(TITLE_NUMBER_PR_CHANGE="",IF(TITLE_NUMBER_PR="","",TITLE_NUMBER_PR),TITLE_NUMBER_PR_CHANGE)</f>
        <v/>
      </c>
      <c s="2254"/>
      <c s="2254"/>
      <c s="2254"/>
      <c s="2254"/>
      <c s="2254"/>
      <c s="329"/>
      <c s="2254" t="str">
        <f>IF(TITLE_NUMBER_PR_CHANGE="",IF(TITLE_NUMBER_PR="","",TITLE_NUMBER_PR),TITLE_NUMBER_PR_CHANGE)</f>
        <v/>
      </c>
      <c s="2254"/>
      <c s="2254"/>
      <c s="2254"/>
      <c s="2254"/>
      <c s="2254"/>
      <c s="329"/>
      <c s="329"/>
      <c s="283"/>
      <c s="371"/>
      <c s="371"/>
      <c s="371"/>
      <c s="371"/>
      <c s="371"/>
      <c s="421">
        <v>0</v>
      </c>
    </row>
    <row r="30" spans="1:43" s="1856" customFormat="1" ht="18.75" customHeight="1" hidden="1">
      <c r="A30" s="1371"/>
      <c s="1371"/>
      <c s="1371"/>
      <c s="1371"/>
      <c s="1371"/>
      <c s="1371"/>
      <c s="1371"/>
      <c s="1371"/>
      <c s="1371"/>
      <c s="1371"/>
      <c s="1371"/>
      <c s="1372"/>
      <c s="1371"/>
      <c s="1371"/>
      <c s="1371"/>
      <c r="S30" s="2253" t="s">
        <v>43</v>
      </c>
      <c s="2253"/>
      <c s="1375"/>
      <c s="2254" t="str">
        <f>IF(TITLE_IST_PUB_CHANGE="",IF(TITLE_IST_PUB="","",TITLE_IST_PUB),TITLE_IST_PUB_CHANGE)</f>
        <v/>
      </c>
      <c s="2254"/>
      <c s="2254"/>
      <c s="2254"/>
      <c s="2254"/>
      <c s="2254"/>
      <c s="329"/>
      <c s="2254" t="str">
        <f>IF(TITLE_IST_PUB_CHANGE="",IF(TITLE_IST_PUB="","",TITLE_IST_PUB),TITLE_IST_PUB_CHANGE)</f>
        <v/>
      </c>
      <c s="2254"/>
      <c s="2254"/>
      <c s="2254"/>
      <c s="2254"/>
      <c s="2254"/>
      <c s="329"/>
      <c s="329"/>
      <c s="283"/>
      <c s="371"/>
      <c s="371"/>
      <c s="371"/>
      <c s="371"/>
      <c s="371"/>
      <c s="421">
        <v>0</v>
      </c>
    </row>
    <row r="31" spans="17:43" ht="14.25" customHeight="1" hidden="1">
      <c r="Q31" s="379"/>
      <c s="379"/>
      <c s="1278"/>
      <c s="366"/>
      <c s="366"/>
      <c s="325"/>
      <c s="325"/>
      <c s="325"/>
      <c s="325"/>
      <c s="325"/>
      <c s="325"/>
      <c s="325"/>
      <c s="325"/>
      <c s="325"/>
      <c s="325"/>
      <c s="325"/>
      <c s="325"/>
      <c s="325"/>
      <c s="325"/>
      <c s="512"/>
      <c r="AQ31" s="1158">
        <v>0</v>
      </c>
    </row>
    <row r="32" spans="1:43" s="1856" customFormat="1" ht="18.75" customHeight="1" hidden="1">
      <c r="A32" s="1371"/>
      <c s="1371"/>
      <c s="1371"/>
      <c s="1371"/>
      <c s="1371"/>
      <c s="1371"/>
      <c s="1371"/>
      <c s="1371"/>
      <c s="1371"/>
      <c s="1371"/>
      <c s="1371"/>
      <c s="1372"/>
      <c s="1371"/>
      <c s="1371"/>
      <c s="1371"/>
      <c r="S32" s="2253" t="s">
        <v>425</v>
      </c>
      <c s="2253"/>
      <c s="1375"/>
      <c s="2267" t="str">
        <f>IF(TITLE_DATE_PR_CHANGE="",IF(TITLE_DATE_PR="","",TITLE_DATE_PR),TITLE_DATE_PR_CHANGE)</f>
        <v/>
      </c>
      <c s="2267"/>
      <c s="2267"/>
      <c s="2267"/>
      <c s="2267"/>
      <c s="2267"/>
      <c s="329"/>
      <c s="2267" t="str">
        <f>IF(TITLE_DATE_PR_CHANGE="",IF(TITLE_DATE_PR="","",TITLE_DATE_PR),TITLE_DATE_PR_CHANGE)</f>
        <v/>
      </c>
      <c s="2267"/>
      <c s="2267"/>
      <c s="2267"/>
      <c s="2267"/>
      <c s="2267"/>
      <c s="329"/>
      <c s="329"/>
      <c s="283"/>
      <c s="371"/>
      <c s="371"/>
      <c s="371"/>
      <c s="371"/>
      <c s="371"/>
      <c s="421">
        <v>0</v>
      </c>
    </row>
    <row r="33" spans="1:43" s="1856" customFormat="1" ht="18.75" customHeight="1" hidden="1">
      <c r="A33" s="1371"/>
      <c s="1371"/>
      <c s="1371"/>
      <c s="1371"/>
      <c s="1371"/>
      <c s="1371"/>
      <c s="1371"/>
      <c s="1371"/>
      <c s="1371"/>
      <c s="1371"/>
      <c s="1371"/>
      <c s="1372"/>
      <c s="1371"/>
      <c s="1371"/>
      <c s="1371"/>
      <c r="S33" s="2253" t="s">
        <v>426</v>
      </c>
      <c s="2253"/>
      <c s="1375"/>
      <c s="2254" t="str">
        <f>IF(TITLE_NUMBER_PR_CHANGE="",IF(TITLE_NUMBER_PR="","",TITLE_NUMBER_PR),TITLE_NUMBER_PR_CHANGE)</f>
        <v/>
      </c>
      <c s="2254"/>
      <c s="2254"/>
      <c s="2254"/>
      <c s="2254"/>
      <c s="2254"/>
      <c s="329"/>
      <c s="2254" t="str">
        <f>IF(TITLE_NUMBER_PR_CHANGE="",IF(TITLE_NUMBER_PR="","",TITLE_NUMBER_PR),TITLE_NUMBER_PR_CHANGE)</f>
        <v/>
      </c>
      <c s="2254"/>
      <c s="2254"/>
      <c s="2254"/>
      <c s="2254"/>
      <c s="2254"/>
      <c s="329"/>
      <c s="329"/>
      <c s="283"/>
      <c s="371"/>
      <c s="371"/>
      <c s="371"/>
      <c s="371"/>
      <c s="371"/>
      <c s="421">
        <v>0</v>
      </c>
    </row>
    <row r="34" spans="1:43" s="1856" customFormat="1" ht="1.05" customHeight="1">
      <c r="A34" s="1371"/>
      <c s="1371"/>
      <c s="1371"/>
      <c s="1371"/>
      <c s="1371"/>
      <c s="1371"/>
      <c s="1371"/>
      <c s="1371"/>
      <c s="1371"/>
      <c s="1371"/>
      <c s="1371"/>
      <c s="1372"/>
      <c s="1371"/>
      <c s="1371"/>
      <c s="1371"/>
      <c r="S34" s="326"/>
      <c s="326"/>
      <c s="1491"/>
      <c s="329"/>
      <c s="329"/>
      <c s="329"/>
      <c s="329"/>
      <c s="329"/>
      <c s="329"/>
      <c s="281" t="s">
        <v>427</v>
      </c>
      <c s="329"/>
      <c s="329"/>
      <c s="329"/>
      <c s="329"/>
      <c s="329"/>
      <c s="329"/>
      <c s="281" t="s">
        <v>427</v>
      </c>
      <c r="AL34" s="371"/>
      <c s="371"/>
      <c s="371"/>
      <c s="371"/>
      <c s="371"/>
      <c s="421">
        <v>1</v>
      </c>
    </row>
    <row r="35" spans="17:43" ht="14.7" customHeight="1">
      <c r="Q35" s="379"/>
      <c s="379"/>
      <c s="1278"/>
      <c s="366"/>
      <c s="1247"/>
      <c s="2255"/>
      <c s="2255"/>
      <c s="2255"/>
      <c s="2255"/>
      <c s="2255"/>
      <c s="2255"/>
      <c s="2255"/>
      <c s="2255"/>
      <c s="2255"/>
      <c s="2255"/>
      <c s="2255"/>
      <c s="2255"/>
      <c s="2255"/>
      <c s="2255"/>
      <c r="AQ35" s="1158">
        <v>14</v>
      </c>
    </row>
    <row r="36" spans="17:43" ht="14.7" customHeight="1">
      <c r="Q36" s="379"/>
      <c s="379"/>
      <c s="2130" t="s">
        <v>300</v>
      </c>
      <c s="2130"/>
      <c s="2130"/>
      <c s="2130"/>
      <c s="2130"/>
      <c s="2130"/>
      <c s="2130"/>
      <c s="2130"/>
      <c s="2130"/>
      <c s="2130"/>
      <c s="2130"/>
      <c s="2130"/>
      <c s="2130"/>
      <c s="2130"/>
      <c s="2130"/>
      <c s="2130"/>
      <c s="2130"/>
      <c s="2130"/>
      <c s="2130" t="s">
        <v>301</v>
      </c>
      <c r="AQ36" s="1158">
        <v>14</v>
      </c>
    </row>
    <row r="37" spans="17:43" ht="14.7" customHeight="1">
      <c r="Q37" s="379"/>
      <c s="379"/>
      <c s="2276" t="s">
        <v>87</v>
      </c>
      <c s="2212" t="s">
        <v>428</v>
      </c>
      <c s="304"/>
      <c s="2277" t="s">
        <v>429</v>
      </c>
      <c s="2278"/>
      <c s="2278"/>
      <c s="2278"/>
      <c s="2278"/>
      <c s="2279"/>
      <c s="2280" t="s">
        <v>430</v>
      </c>
      <c s="2277" t="s">
        <v>429</v>
      </c>
      <c s="2278"/>
      <c s="2278"/>
      <c s="2278"/>
      <c s="2278"/>
      <c s="2279"/>
      <c s="2280" t="s">
        <v>431</v>
      </c>
      <c s="2283" t="s">
        <v>432</v>
      </c>
      <c s="2130"/>
      <c r="AQ37" s="1158">
        <v>14</v>
      </c>
    </row>
    <row r="38" spans="17:43" ht="35.7" customHeight="1">
      <c r="Q38" s="379"/>
      <c s="379"/>
      <c s="2276"/>
      <c s="2212"/>
      <c s="1034"/>
      <c s="1486" t="s">
        <v>489</v>
      </c>
      <c s="2265" t="s">
        <v>435</v>
      </c>
      <c s="2266"/>
      <c s="2265" t="s">
        <v>436</v>
      </c>
      <c s="2272"/>
      <c s="2266"/>
      <c s="2281"/>
      <c s="1486" t="s">
        <v>489</v>
      </c>
      <c s="2265" t="s">
        <v>435</v>
      </c>
      <c s="2266"/>
      <c s="2265" t="s">
        <v>436</v>
      </c>
      <c s="2272"/>
      <c s="2266"/>
      <c s="2281"/>
      <c s="2284"/>
      <c s="2130"/>
      <c r="AQ38" s="1158">
        <v>34</v>
      </c>
    </row>
    <row r="39" spans="1:43" ht="90.3" customHeight="1">
      <c r="A39" s="1373"/>
      <c s="1373" t="s">
        <v>137</v>
      </c>
      <c s="1373" t="s">
        <v>138</v>
      </c>
      <c s="1373" t="s">
        <v>139</v>
      </c>
      <c s="1367" t="s">
        <v>437</v>
      </c>
      <c s="1367" t="s">
        <v>438</v>
      </c>
      <c s="1367" t="s">
        <v>439</v>
      </c>
      <c s="1367"/>
      <c s="1367" t="s">
        <v>490</v>
      </c>
      <c s="1367" t="s">
        <v>442</v>
      </c>
      <c s="1367" t="s">
        <v>491</v>
      </c>
      <c s="1367" t="s">
        <v>418</v>
      </c>
      <c r="Q39" s="379"/>
      <c s="379"/>
      <c s="2276"/>
      <c s="2212"/>
      <c s="305"/>
      <c s="1486" t="s">
        <v>518</v>
      </c>
      <c s="1225" t="s">
        <v>519</v>
      </c>
      <c s="1225" t="s">
        <v>494</v>
      </c>
      <c s="1492" t="s">
        <v>446</v>
      </c>
      <c s="2273" t="s">
        <v>447</v>
      </c>
      <c s="2274"/>
      <c s="2282"/>
      <c s="1486" t="s">
        <v>518</v>
      </c>
      <c s="1225" t="s">
        <v>519</v>
      </c>
      <c s="1225" t="s">
        <v>494</v>
      </c>
      <c s="1492" t="s">
        <v>446</v>
      </c>
      <c s="2273" t="s">
        <v>447</v>
      </c>
      <c s="2274"/>
      <c s="2282"/>
      <c s="2285"/>
      <c s="2130"/>
      <c r="AQ39" s="1158">
        <v>86</v>
      </c>
    </row>
    <row r="40" spans="1:43" s="1644" customFormat="1" ht="11.25" customHeight="1" hidden="1">
      <c r="A40" s="1373"/>
      <c s="1373"/>
      <c s="1373"/>
      <c s="1373"/>
      <c s="1373"/>
      <c s="1373"/>
      <c s="1373"/>
      <c s="1373"/>
      <c s="1373"/>
      <c s="1373"/>
      <c s="1373"/>
      <c s="1367"/>
      <c s="1365"/>
      <c s="1365"/>
      <c s="1365"/>
      <c s="1249"/>
      <c s="1250"/>
      <c s="1257">
        <v>1</v>
      </c>
      <c s="1280" t="s">
        <v>109</v>
      </c>
      <c s="1258" t="s">
        <v>110</v>
      </c>
      <c s="1248" t="str">
        <f ca="1">OFFSET(U40,0,-1)</f>
        <v>2</v>
      </c>
      <c s="1485">
        <f ca="1">OFFSET(V40,0,-1)+1</f>
        <v>3</v>
      </c>
      <c s="1485">
        <f ca="1">OFFSET(W40,0,-1)+1</f>
        <v>4</v>
      </c>
      <c s="1485">
        <f ca="1">OFFSET(X40,0,-1)+1</f>
        <v>5</v>
      </c>
      <c s="1485">
        <f ca="1">OFFSET(Y40,0,-1)+1</f>
        <v>6</v>
      </c>
      <c s="2275">
        <f ca="1">OFFSET(Z40,0,-1)+1</f>
        <v>7</v>
      </c>
      <c s="2275"/>
      <c s="1485">
        <f ca="1">OFFSET(AB40,0,-2)+1</f>
        <v>8</v>
      </c>
      <c s="1485">
        <f ca="1">OFFSET(AC40,0,-1)+1</f>
        <v>9</v>
      </c>
      <c s="1485">
        <f ca="1">OFFSET(AD40,0,-1)+1</f>
        <v>10</v>
      </c>
      <c s="1485">
        <f ca="1">OFFSET(AE40,0,-1)+1</f>
        <v>11</v>
      </c>
      <c s="1485">
        <f ca="1">OFFSET(AF40,0,-1)+1</f>
        <v>12</v>
      </c>
      <c s="2275">
        <f ca="1">OFFSET(AG40,0,-1)+1</f>
        <v>13</v>
      </c>
      <c s="2275"/>
      <c s="1485">
        <f ca="1">OFFSET(AI40,0,-2)+1</f>
        <v>14</v>
      </c>
      <c s="1248">
        <f ca="1">OFFSET(AJ40,0,-1)</f>
        <v>14</v>
      </c>
      <c s="1485">
        <f ca="1">OFFSET(AK40,0,-1)+1</f>
        <v>15</v>
      </c>
      <c s="514"/>
      <c s="514"/>
      <c s="514"/>
      <c s="514"/>
      <c s="514"/>
      <c s="499">
        <v>0</v>
      </c>
    </row>
    <row r="41" spans="1:43" ht="24" customHeight="1">
      <c r="A41" s="1366" t="s">
        <v>266</v>
      </c>
      <c s="1366"/>
      <c s="1366"/>
      <c s="1366"/>
      <c s="2261">
        <v>1</v>
      </c>
      <c s="1366"/>
      <c s="1366"/>
      <c s="1366"/>
      <c s="1366"/>
      <c s="1366"/>
      <c s="1366"/>
      <c s="1367"/>
      <c s="1368"/>
      <c s="1368"/>
      <c s="1368"/>
      <c s="364"/>
      <c s="363"/>
      <c s="358"/>
      <c s="1496">
        <f>INDEX(PT_DIFFERENTIATION_NUM_NTAR,MATCH(A41,PT_DIFFERENTIATION_NTAR_ID,0))</f>
        <v>0</v>
      </c>
      <c s="301" t="s">
        <v>125</v>
      </c>
      <c s="303"/>
      <c s="2245"/>
      <c s="2246"/>
      <c s="2246"/>
      <c s="2246"/>
      <c s="2246"/>
      <c s="2246"/>
      <c s="2247"/>
      <c s="2245" t="str">
        <f>INDEX(PT_DIFFERENTIATION_NTAR,MATCH(A41,PT_DIFFERENTIATION_NTAR_ID,0))</f>
        <v/>
      </c>
      <c s="2246"/>
      <c s="2246"/>
      <c s="2246"/>
      <c s="2246"/>
      <c s="2246"/>
      <c s="2246"/>
      <c s="2247"/>
      <c s="126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3"/>
      <c s="503" t="str">
        <f>IF(T41="","",T41)</f>
        <v>Наименование тарифа</v>
      </c>
      <c s="503"/>
      <c s="503"/>
      <c s="1158">
        <v>23</v>
      </c>
    </row>
    <row r="42" spans="1:43" ht="24" customHeight="1">
      <c r="A42" s="1366" t="s">
        <v>266</v>
      </c>
      <c s="1366" t="s">
        <v>267</v>
      </c>
      <c s="1366"/>
      <c s="1366"/>
      <c s="2262"/>
      <c s="2261">
        <v>1</v>
      </c>
      <c s="1366"/>
      <c s="1366"/>
      <c s="1366"/>
      <c s="1366"/>
      <c s="1366"/>
      <c s="1367"/>
      <c s="1368"/>
      <c s="1368"/>
      <c s="1368"/>
      <c s="1490"/>
      <c s="355"/>
      <c s="356"/>
      <c s="1496" t="str">
        <f>INDEX(PT_DIFFERENTIATION_NUM_TER,MATCH(B42,PT_DIFFERENTIATION_TER_ID,0))</f>
        <v>.</v>
      </c>
      <c s="311" t="s">
        <v>397</v>
      </c>
      <c s="303"/>
      <c s="2245"/>
      <c s="2246"/>
      <c s="2246"/>
      <c s="2246"/>
      <c s="2246"/>
      <c s="2246"/>
      <c s="2247"/>
      <c s="2245" t="str">
        <f>INDEX(PT_DIFFERENTIATION_TER,MATCH(B42,PT_DIFFERENTIATION_TER_ID,0))</f>
        <v/>
      </c>
      <c s="2246"/>
      <c s="2246"/>
      <c s="2246"/>
      <c s="2246"/>
      <c s="2246"/>
      <c s="2246"/>
      <c s="2247"/>
      <c s="1261" t="s">
        <v>398</v>
      </c>
      <c r="AM42" s="503"/>
      <c s="503" t="str">
        <f>IF(T42="","",T42)</f>
        <v>Территория действия тарифа</v>
      </c>
      <c s="503"/>
      <c s="503"/>
      <c s="1158">
        <v>23</v>
      </c>
    </row>
    <row r="43" spans="1:43" ht="24" customHeight="1">
      <c r="A43" s="1366" t="s">
        <v>266</v>
      </c>
      <c s="1366" t="s">
        <v>267</v>
      </c>
      <c s="1366" t="s">
        <v>268</v>
      </c>
      <c s="1366"/>
      <c s="2262"/>
      <c s="2262"/>
      <c s="2261">
        <v>1</v>
      </c>
      <c s="1366"/>
      <c s="1366"/>
      <c s="1366"/>
      <c s="1366"/>
      <c s="1367"/>
      <c s="1368"/>
      <c s="1368"/>
      <c s="1368"/>
      <c s="357"/>
      <c s="355"/>
      <c s="356"/>
      <c s="1496" t="str">
        <f>INDEX(PT_DIFFERENTIATION_NUM_CS,MATCH(C43,PT_DIFFERENTIATION_CS_ID,0))</f>
        <v>..</v>
      </c>
      <c s="312" t="s">
        <v>516</v>
      </c>
      <c s="303"/>
      <c s="2245"/>
      <c s="2246"/>
      <c s="2246"/>
      <c s="2246"/>
      <c s="2246"/>
      <c s="2246"/>
      <c s="2247"/>
      <c s="2245" t="str">
        <f>INDEX(PT_DIFFERENTIATION_CS,MATCH(C43,PT_DIFFERENTIATION_CS_ID,0))</f>
        <v/>
      </c>
      <c s="2246"/>
      <c s="2246"/>
      <c s="2246"/>
      <c s="2246"/>
      <c s="2246"/>
      <c s="2246"/>
      <c s="2247"/>
      <c s="1261" t="s">
        <v>517</v>
      </c>
      <c r="AM43" s="503"/>
      <c s="503" t="str">
        <f>IF(T43="","",T43)</f>
        <v>Наименование централизованной системы водоотведения</v>
      </c>
      <c s="503"/>
      <c s="503"/>
      <c s="1158">
        <v>23</v>
      </c>
    </row>
    <row r="44" spans="1:43" ht="24" customHeight="1">
      <c r="A44" s="1366" t="s">
        <v>266</v>
      </c>
      <c s="1366" t="s">
        <v>267</v>
      </c>
      <c s="1366" t="s">
        <v>268</v>
      </c>
      <c s="1366" t="s">
        <v>520</v>
      </c>
      <c s="2262"/>
      <c s="2262"/>
      <c s="2262"/>
      <c s="2262"/>
      <c s="2259" t="str">
        <f>S43&amp;".1"</f>
        <v>...1</v>
      </c>
      <c s="1366"/>
      <c s="1366"/>
      <c s="1367"/>
      <c r="P44" s="2260">
        <v>1</v>
      </c>
      <c s="1484"/>
      <c s="359"/>
      <c s="1496" t="str">
        <f>$I44</f>
        <v>...1</v>
      </c>
      <c s="288" t="s">
        <v>483</v>
      </c>
      <c s="303"/>
      <c s="2353"/>
      <c s="2354"/>
      <c s="2354"/>
      <c s="2354"/>
      <c s="2354"/>
      <c s="2354"/>
      <c s="2355"/>
      <c s="2356"/>
      <c s="2357"/>
      <c s="2357"/>
      <c s="2357"/>
      <c s="2357"/>
      <c s="2357"/>
      <c s="2357"/>
      <c s="2358"/>
      <c s="1261" t="s">
        <v>484</v>
      </c>
      <c r="AM44" s="503"/>
      <c s="503" t="str">
        <f>IF(T44="","",T44)</f>
        <v>Наименование признака дифференциации</v>
      </c>
      <c s="503"/>
      <c s="503"/>
      <c s="1158">
        <v>23</v>
      </c>
    </row>
    <row r="45" spans="1:43" ht="24" customHeight="1">
      <c r="A45" s="1366" t="s">
        <v>266</v>
      </c>
      <c s="1366" t="s">
        <v>267</v>
      </c>
      <c s="1366" t="s">
        <v>268</v>
      </c>
      <c s="1366" t="s">
        <v>520</v>
      </c>
      <c s="2262"/>
      <c s="2262"/>
      <c s="2262"/>
      <c s="2262"/>
      <c s="2289"/>
      <c s="2259" t="str">
        <f>I44&amp;".1"</f>
        <v>...1.1</v>
      </c>
      <c s="1366"/>
      <c s="1367" t="s">
        <v>406</v>
      </c>
      <c r="P45" s="2260"/>
      <c s="2260">
        <v>1</v>
      </c>
      <c s="360"/>
      <c s="1496" t="str">
        <f>$J45</f>
        <v>...1.1</v>
      </c>
      <c s="289" t="s">
        <v>407</v>
      </c>
      <c s="303"/>
      <c s="2248"/>
      <c s="2249"/>
      <c s="2249"/>
      <c s="2249"/>
      <c s="2249"/>
      <c s="2249"/>
      <c s="2250"/>
      <c s="2248"/>
      <c s="2249"/>
      <c s="2249"/>
      <c s="2249"/>
      <c s="2249"/>
      <c s="2249"/>
      <c s="2249"/>
      <c s="2250"/>
      <c s="1310" t="s">
        <v>485</v>
      </c>
      <c r="AM45" s="503"/>
      <c s="503" t="str">
        <f>IF(T45="","",T45)</f>
        <v>Группа потребителей</v>
      </c>
      <c s="503"/>
      <c s="503"/>
      <c s="1158">
        <v>23</v>
      </c>
    </row>
    <row r="46" spans="1:43" ht="24" customHeight="1">
      <c r="A46" s="1366" t="s">
        <v>266</v>
      </c>
      <c s="1366" t="s">
        <v>267</v>
      </c>
      <c s="1366" t="s">
        <v>268</v>
      </c>
      <c s="1366" t="s">
        <v>520</v>
      </c>
      <c s="2262"/>
      <c s="2262"/>
      <c s="2262"/>
      <c s="2262"/>
      <c s="2289"/>
      <c s="2289"/>
      <c s="2259" t="str">
        <f>J45&amp;".1"</f>
        <v>...1.1.1</v>
      </c>
      <c s="1367"/>
      <c r="P46" s="2260"/>
      <c s="2260"/>
      <c s="360">
        <v>1</v>
      </c>
      <c s="1496" t="str">
        <f>$K46</f>
        <v>...1.1.1</v>
      </c>
      <c s="1440"/>
      <c s="303"/>
      <c s="1363"/>
      <c s="1363"/>
      <c s="1364"/>
      <c s="2270"/>
      <c s="2271" t="s">
        <v>65</v>
      </c>
      <c s="2270"/>
      <c s="2271" t="s">
        <v>65</v>
      </c>
      <c s="754"/>
      <c s="754"/>
      <c s="1260"/>
      <c s="2268"/>
      <c s="2110" t="s">
        <v>65</v>
      </c>
      <c s="2290"/>
      <c s="2110" t="s">
        <v>19</v>
      </c>
      <c s="1441"/>
      <c s="235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s="514">
        <f>STRCHECKDATE(V47:AJ47)</f>
      </c>
      <c s="503"/>
      <c s="503" t="str">
        <f>IF(T46="","",T46)</f>
        <v/>
      </c>
      <c s="503"/>
      <c s="503"/>
      <c s="1158">
        <v>23</v>
      </c>
    </row>
    <row r="47" spans="1:43" ht="0" customHeight="1">
      <c r="A47" s="1366" t="s">
        <v>266</v>
      </c>
      <c s="1366" t="s">
        <v>267</v>
      </c>
      <c s="1366" t="s">
        <v>268</v>
      </c>
      <c s="1366" t="s">
        <v>520</v>
      </c>
      <c s="2262"/>
      <c s="2262"/>
      <c s="2262"/>
      <c s="2262"/>
      <c s="2289"/>
      <c s="2289"/>
      <c s="2259"/>
      <c s="1367"/>
      <c r="P47" s="2260"/>
      <c s="2260"/>
      <c s="360"/>
      <c s="1493"/>
      <c s="303"/>
      <c s="303"/>
      <c s="1363"/>
      <c s="1363"/>
      <c s="331" t="str">
        <f>Y46&amp;"-"&amp;AA46</f>
        <v>-</v>
      </c>
      <c s="2271"/>
      <c s="2271"/>
      <c s="2271"/>
      <c s="2271"/>
      <c s="328"/>
      <c s="328"/>
      <c s="331" t="str">
        <f>AF46&amp;"-"&amp;AH46</f>
        <v>-</v>
      </c>
      <c s="2269"/>
      <c s="2110"/>
      <c s="2291"/>
      <c s="2110"/>
      <c s="1442"/>
      <c s="2352"/>
      <c r="AM47" s="503"/>
      <c s="503" t="str">
        <f>IF(T47="","",T47)</f>
        <v/>
      </c>
      <c s="503"/>
      <c s="503"/>
      <c s="1158">
        <v>0</v>
      </c>
    </row>
    <row r="48" spans="1:43" ht="21" customHeight="1">
      <c r="A48" s="1366" t="s">
        <v>266</v>
      </c>
      <c s="1366" t="s">
        <v>267</v>
      </c>
      <c s="1366" t="s">
        <v>268</v>
      </c>
      <c s="1366" t="s">
        <v>520</v>
      </c>
      <c s="2262"/>
      <c s="2262"/>
      <c s="2262"/>
      <c s="2262"/>
      <c s="2289"/>
      <c s="2259"/>
      <c s="1366"/>
      <c s="1367"/>
      <c r="P48" s="2260"/>
      <c s="2260"/>
      <c s="359"/>
      <c s="1281"/>
      <c s="290" t="s">
        <v>486</v>
      </c>
      <c s="370"/>
      <c s="370"/>
      <c s="370"/>
      <c s="370"/>
      <c s="370"/>
      <c s="370"/>
      <c s="370"/>
      <c s="370"/>
      <c s="370"/>
      <c s="370"/>
      <c s="370"/>
      <c s="370"/>
      <c s="370"/>
      <c s="370"/>
      <c s="370"/>
      <c s="370"/>
      <c s="1261" t="s">
        <v>487</v>
      </c>
      <c r="AM48" s="503"/>
      <c s="503" t="str">
        <f>IF(T48="","",T48)</f>
        <v>Добавить значение признака дифференциации</v>
      </c>
      <c s="503"/>
      <c s="503"/>
      <c s="1158">
        <v>20</v>
      </c>
    </row>
    <row r="49" spans="1:43" ht="22.05" customHeight="1">
      <c r="A49" s="1366" t="s">
        <v>266</v>
      </c>
      <c s="1366" t="s">
        <v>267</v>
      </c>
      <c s="1366" t="s">
        <v>268</v>
      </c>
      <c s="1366" t="s">
        <v>520</v>
      </c>
      <c s="2262"/>
      <c s="2262"/>
      <c s="2262"/>
      <c s="2262"/>
      <c s="2259"/>
      <c s="1366"/>
      <c s="1366"/>
      <c s="1367"/>
      <c r="P49" s="2260"/>
      <c s="1484"/>
      <c s="359"/>
      <c s="1281"/>
      <c s="368" t="s">
        <v>412</v>
      </c>
      <c s="370"/>
      <c s="370"/>
      <c s="370"/>
      <c s="370"/>
      <c s="370"/>
      <c s="370"/>
      <c s="370"/>
      <c s="369"/>
      <c s="370"/>
      <c s="370"/>
      <c s="370"/>
      <c s="370"/>
      <c s="370"/>
      <c s="370"/>
      <c s="369"/>
      <c s="370"/>
      <c s="1443"/>
      <c r="AM49" s="503"/>
      <c s="503" t="str">
        <f>IF(T49="","",T49)</f>
        <v>Добавить группу потребителей</v>
      </c>
      <c s="503"/>
      <c s="503"/>
      <c s="1158">
        <v>21</v>
      </c>
    </row>
    <row r="50" spans="1:43" ht="22.05" customHeight="1">
      <c r="A50" s="1366" t="s">
        <v>266</v>
      </c>
      <c s="1366" t="s">
        <v>267</v>
      </c>
      <c s="1366" t="s">
        <v>268</v>
      </c>
      <c s="1366" t="s">
        <v>520</v>
      </c>
      <c s="2262"/>
      <c s="2262"/>
      <c s="2262"/>
      <c s="2261"/>
      <c s="1366"/>
      <c s="1366"/>
      <c s="1366"/>
      <c s="1367"/>
      <c s="1368"/>
      <c s="1368"/>
      <c s="540"/>
      <c s="363"/>
      <c s="378"/>
      <c s="358"/>
      <c s="1281"/>
      <c s="375" t="s">
        <v>488</v>
      </c>
      <c s="370"/>
      <c s="370"/>
      <c s="370"/>
      <c s="370"/>
      <c s="370"/>
      <c s="370"/>
      <c s="370"/>
      <c s="369"/>
      <c s="370"/>
      <c s="370"/>
      <c s="370"/>
      <c s="370"/>
      <c s="370"/>
      <c s="370"/>
      <c s="369"/>
      <c s="370"/>
      <c s="306"/>
      <c r="AM50" s="503"/>
      <c s="503" t="str">
        <f>IF(T50="","",T50)</f>
        <v>Добавить наименование признака дифференциации</v>
      </c>
      <c s="503"/>
      <c s="503"/>
      <c s="1158">
        <v>21</v>
      </c>
    </row>
    <row r="51" spans="1:43" s="1645" customFormat="1" ht="0" customHeight="1">
      <c r="A51" s="1346" t="s">
        <v>266</v>
      </c>
      <c s="1346" t="s">
        <v>267</v>
      </c>
      <c s="1317"/>
      <c s="1317"/>
      <c s="2262"/>
      <c s="2261"/>
      <c s="1317"/>
      <c s="1317"/>
      <c s="1317"/>
      <c s="1317"/>
      <c s="1317"/>
      <c s="1497"/>
      <c s="1324"/>
      <c s="1324"/>
      <c r="P51" s="1319"/>
      <c s="1320"/>
      <c s="1319"/>
      <c s="1325"/>
      <c s="1328" t="s">
        <v>415</v>
      </c>
      <c s="1327"/>
      <c s="1327"/>
      <c s="1327"/>
      <c s="1327"/>
      <c s="1327"/>
      <c s="1327"/>
      <c s="1327"/>
      <c s="1327"/>
      <c s="1327"/>
      <c s="1327"/>
      <c s="1327"/>
      <c s="1327"/>
      <c s="1327"/>
      <c s="1327"/>
      <c s="1327"/>
      <c s="1327"/>
      <c s="1327"/>
      <c r="AM51" s="792"/>
      <c s="792" t="str">
        <f>IF(T51="","",T51)</f>
        <v>Добавить централизованную систему для дифференциации</v>
      </c>
      <c s="792"/>
      <c s="792"/>
      <c s="521">
        <v>0</v>
      </c>
    </row>
    <row r="52" spans="1:43" s="1645" customFormat="1" ht="0" customHeight="1">
      <c r="A52" s="1346" t="s">
        <v>266</v>
      </c>
      <c s="1346"/>
      <c s="1346"/>
      <c s="1346"/>
      <c s="2261"/>
      <c s="1346"/>
      <c s="1346"/>
      <c s="1346"/>
      <c s="1346"/>
      <c s="1346"/>
      <c s="1346"/>
      <c s="1349"/>
      <c s="1324"/>
      <c s="1324"/>
      <c s="521"/>
      <c s="383"/>
      <c s="1347"/>
      <c s="383"/>
      <c s="1325"/>
      <c s="1328" t="s">
        <v>416</v>
      </c>
      <c s="1327"/>
      <c s="1327"/>
      <c s="1327"/>
      <c s="1327"/>
      <c s="1327"/>
      <c s="1327"/>
      <c s="1327"/>
      <c s="1327"/>
      <c s="1327"/>
      <c s="1327"/>
      <c s="1327"/>
      <c s="1327"/>
      <c s="1327"/>
      <c s="1327"/>
      <c s="1327"/>
      <c s="1327"/>
      <c s="1327"/>
      <c r="AM52" s="503"/>
      <c s="503" t="str">
        <f>IF(T52="","",T52)</f>
        <v>Добавить территорию для дифференциации</v>
      </c>
      <c s="503"/>
      <c s="503"/>
      <c s="514">
        <v>0</v>
      </c>
    </row>
    <row r="53" spans="1:43" s="1645" customFormat="1" ht="0" customHeight="1">
      <c r="A53" s="1317"/>
      <c s="1317"/>
      <c s="1317"/>
      <c s="1317"/>
      <c s="1346"/>
      <c s="1317"/>
      <c s="1317"/>
      <c s="1317"/>
      <c s="1317"/>
      <c s="1317"/>
      <c s="1317"/>
      <c s="1497"/>
      <c s="1324"/>
      <c s="1324"/>
      <c r="P53" s="1319"/>
      <c s="1320"/>
      <c s="1319"/>
      <c s="1325"/>
      <c s="1328" t="s">
        <v>448</v>
      </c>
      <c s="1327"/>
      <c s="1327"/>
      <c s="1327"/>
      <c s="1327"/>
      <c s="1327"/>
      <c s="1327"/>
      <c s="1327"/>
      <c s="1327"/>
      <c s="1327"/>
      <c s="1327"/>
      <c s="1327"/>
      <c s="1327"/>
      <c s="1327"/>
      <c s="1327"/>
      <c s="1327"/>
      <c s="1327"/>
      <c s="1327"/>
      <c r="AM53" s="792"/>
      <c s="792" t="str">
        <f>IF(T53="","",T53)</f>
        <v>Добавить наименование тарифа</v>
      </c>
      <c s="792"/>
      <c s="792"/>
      <c s="521">
        <v>0</v>
      </c>
    </row>
    <row r="54" spans="13:43" ht="11.55" customHeight="1">
      <c r="M54" s="1163"/>
      <c s="1163"/>
      <c s="540"/>
      <c s="1158"/>
      <c s="1158"/>
      <c s="1158"/>
      <c s="1158"/>
      <c r="AL54" s="1158"/>
      <c s="1158"/>
      <c s="1158"/>
      <c s="1158"/>
      <c s="1158"/>
      <c s="1158">
        <v>11</v>
      </c>
    </row>
    <row r="55" spans="15:43" ht="14.7" customHeight="1">
      <c r="O55" s="540"/>
      <c r="S55" s="1256"/>
      <c s="2288"/>
      <c s="2288"/>
      <c s="2288"/>
      <c s="2288"/>
      <c s="2288"/>
      <c s="2288"/>
      <c s="2288"/>
      <c s="2288"/>
      <c s="2288"/>
      <c s="2288"/>
      <c s="2288"/>
      <c s="2288"/>
      <c s="2288"/>
      <c s="2288"/>
      <c s="2288"/>
      <c s="2288"/>
      <c s="2288"/>
      <c s="2288"/>
      <c r="AQ55" s="1158">
        <v>14</v>
      </c>
    </row>
    <row r="56" spans="15:43" ht="14.7" customHeight="1">
      <c r="O56" s="540"/>
      <c r="AQ56" s="1158">
        <v>14</v>
      </c>
    </row>
    <row r="57" spans="15:43" ht="14.7" customHeight="1">
      <c r="O57" s="540"/>
      <c r="S57" s="1256"/>
      <c s="2288"/>
      <c s="2288"/>
      <c s="2288"/>
      <c s="2288"/>
      <c s="2288"/>
      <c s="2288"/>
      <c s="2288"/>
      <c s="2288"/>
      <c s="2288"/>
      <c s="2288"/>
      <c s="2288"/>
      <c s="2288"/>
      <c s="2288"/>
      <c s="2288"/>
      <c s="2288"/>
      <c s="2288"/>
      <c s="2288"/>
      <c s="2288"/>
      <c r="AQ57" s="1158">
        <v>14</v>
      </c>
    </row>
    <row r="58" spans="1:43" ht="22.5" customHeight="1" hidden="1">
      <c r="A58" s="1163" t="s">
        <v>81</v>
      </c>
      <c s="1163">
        <v>0</v>
      </c>
      <c s="1163">
        <v>0</v>
      </c>
      <c s="1163">
        <v>0</v>
      </c>
      <c s="1163">
        <v>0</v>
      </c>
      <c s="1163">
        <v>0</v>
      </c>
      <c s="1163">
        <v>0</v>
      </c>
      <c s="1163">
        <v>0</v>
      </c>
      <c s="1163">
        <v>0</v>
      </c>
      <c s="1163">
        <v>0</v>
      </c>
      <c s="1163">
        <v>0</v>
      </c>
      <c s="1481">
        <v>0</v>
      </c>
      <c s="1365">
        <v>0</v>
      </c>
      <c s="1365">
        <v>0</v>
      </c>
      <c s="1365">
        <v>0</v>
      </c>
      <c s="1476">
        <v>3</v>
      </c>
      <c s="347">
        <v>3</v>
      </c>
      <c s="347">
        <v>3</v>
      </c>
      <c s="584">
        <v>12</v>
      </c>
      <c s="1158">
        <v>35</v>
      </c>
      <c s="1158">
        <v>0</v>
      </c>
      <c s="1158">
        <v>0</v>
      </c>
      <c s="1158">
        <v>0</v>
      </c>
      <c s="1158">
        <v>0</v>
      </c>
      <c s="1158">
        <v>0</v>
      </c>
      <c s="1158">
        <v>0</v>
      </c>
      <c s="1158">
        <v>0</v>
      </c>
      <c s="1158">
        <v>0</v>
      </c>
      <c s="1158">
        <v>24</v>
      </c>
      <c s="1158">
        <v>24</v>
      </c>
      <c s="1158">
        <v>24</v>
      </c>
      <c s="1158">
        <v>11</v>
      </c>
      <c s="1158">
        <v>3</v>
      </c>
      <c s="1158">
        <v>11</v>
      </c>
      <c s="1158">
        <v>0</v>
      </c>
      <c s="1158">
        <v>4</v>
      </c>
      <c s="1158">
        <v>115</v>
      </c>
      <c s="514">
        <v>10</v>
      </c>
      <c s="514">
        <v>10</v>
      </c>
      <c s="514">
        <v>10</v>
      </c>
      <c s="514">
        <v>10</v>
      </c>
      <c s="514">
        <v>10</v>
      </c>
      <c s="1158">
        <v>23</v>
      </c>
    </row>
  </sheetData>
  <sheetProtection formatColumns="0" formatRows="0" insertRows="0" deleteColumns="0" deleteRows="0" sort="0" autoFilter="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prompt="Выберите значение из списка" errorTitle="Ошибка" error="Выберите значение из списка" sqref="V65577:AJ65577 V983081:AJ983081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65580:AK65586 S131116:AK131122 S196652:AK196658 S262188:AK262194 S327724:AK327730 S393260:AK393266 S458796:AK458802 S524332:AK524338 S589868:AK589874 S655404:AK655410 S720940:AK720946 S786476:AK786482 S852012:AK852018 S917548:AK917554 S983084:AK983090"/>
    <dataValidation allowBlank="1" showInputMessage="1" showErrorMessage="1" prompt="Для выбора выполните двойной щелчок левой клавиши мыши по соответствующей ячейке." sqref="Z7 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7 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C5:AJ5 AK65572:AK65579 AK131108:AK131115 AK196644:AK196651 AK262180:AK262187 AK327716:AK327723 AK393252:AK393259 AK458788:AK458795 AK524324:AK524331 AK589860:AK589867 AK655396:AK655403 AK720932:AK720939 AK786468:AK786475 AK852004:AK852011 AK917540:AK917547 AK983076:AK983083 T46 T7 AC44:AJ44">
      <formula1>900</formula1>
    </dataValidation>
    <dataValidation type="list" allowBlank="1" showInputMessage="1" showErrorMessage="1" errorTitle="Ошибка" error="Выберите значение из списка" sqref="V65576 V983080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8 X65579 X131115 X196651 X262187 X327723 X393259 X458795 X524331 X589867 X655403 X720939 X786475 X852011 X917547 X983083 AE16 AE65579 AE131115 AE196651 AE262187 AE327723 AE393259 AE458795 AE524331 AE589867 AE655403 AE720939 AE786475 AE852011 AE917547 AE983083 AE47 AE8 X47"/>
  </dataValidations>
  <pageMargins left="0.7" right="0.7" top="0.75" bottom="0.75" header="0.3" footer="0.3"/>
  <pageSetup orientation="portrait"/>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m="http://schemas.microsoft.com/office/excel/2006/main" xmlns:x14ac="http://schemas.microsoft.com/office/spreadsheetml/2009/9/ac" xmlns:xr="http://schemas.microsoft.com/office/spreadsheetml/2014/revision" xmlns:xr2="http://schemas.microsoft.com/office/spreadsheetml/2015/revision2" xmlns:xr3="http://schemas.microsoft.com/office/spreadsheetml/2016/revision3" xr:uid="{4BE365AA-87B1-2DE8-481B-94061210FBB1}" mc:Ignorable="x14ac xr xr2 xr3">
  <sheetPr>
    <tabColor theme="6" tint="0.400000005960464"/>
  </sheetPr>
  <dimension ref="A1:AQ58"/>
  <sheetViews>
    <sheetView showGridLines="0" zoomScale="90" zoomScaleNormal="90" workbookViewId="0" topLeftCell="A1">
      <pane xSplit="28" ySplit="40" topLeftCell="AC41" activePane="bottomRight" state="frozen"/>
      <selection pane="topLeft" activeCell="A1" sqref="A1"/>
      <selection pane="bottomLeft" activeCell="A41" sqref="A41"/>
      <selection pane="topRight" activeCell="AC1" sqref="AC1"/>
      <selection pane="bottomRight" activeCell="A1" sqref="A1"/>
    </sheetView>
  </sheetViews>
  <sheetFormatPr defaultColWidth="10.5742857142857" defaultRowHeight="14.25" customHeight="1"/>
  <cols>
    <col min="1" max="1" width="10.5714285714286" style="1369" hidden="1"/>
    <col min="2" max="2" width="11" style="1369" hidden="1" customWidth="1"/>
    <col min="3" max="3" width="10.5714285714286" style="1369" hidden="1"/>
    <col min="4" max="4" width="11.8571428571429" style="1369" hidden="1" customWidth="1"/>
    <col min="5" max="5" width="10" style="1369" hidden="1" customWidth="1"/>
    <col min="6" max="6" width="8.71428571428571" style="1369" hidden="1" customWidth="1"/>
    <col min="7" max="7" width="7.57142857142857" style="1369" hidden="1" customWidth="1"/>
    <col min="8" max="8" width="11.4285714285714" style="1369" hidden="1" customWidth="1"/>
    <col min="9" max="9" width="14.1428571428571" style="1369" hidden="1" customWidth="1"/>
    <col min="10" max="10" width="9.85714285714286" style="1369" hidden="1" customWidth="1"/>
    <col min="11" max="11" width="14.7142857142857" style="1369" hidden="1" customWidth="1"/>
    <col min="12" max="12" width="19.1428571428571" style="2610" hidden="1" customWidth="1"/>
    <col min="13" max="14" width="12.2857142857143" style="1779" hidden="1" customWidth="1"/>
    <col min="15" max="15" width="23.4285714285714" style="1779" hidden="1" customWidth="1"/>
    <col min="16" max="16" width="3" style="2400" customWidth="1"/>
    <col min="17" max="18" width="3" style="347" customWidth="1"/>
    <col min="19" max="19" width="12" style="2410" customWidth="1"/>
    <col min="20" max="20" width="35" style="1638" customWidth="1"/>
    <col min="21" max="21" width="0.142857142857143" style="1638" customWidth="1"/>
    <col min="22" max="24" width="24.7142857142857" style="1638" hidden="1" customWidth="1"/>
    <col min="25" max="25" width="11.7142857142857" style="1638" hidden="1" customWidth="1"/>
    <col min="26" max="26" width="3.71428571428571" style="1638" hidden="1" customWidth="1"/>
    <col min="27" max="27" width="11.7142857142857" style="1638" hidden="1" customWidth="1"/>
    <col min="28" max="28" width="8.57142857142857" style="1638" hidden="1" customWidth="1"/>
    <col min="29" max="29" width="24.7142857142857" style="1638" customWidth="1"/>
    <col min="30" max="31" width="24" style="1638" customWidth="1"/>
    <col min="32" max="32" width="11" style="1638" customWidth="1"/>
    <col min="33" max="33" width="3.71428571428571" style="1638" customWidth="1"/>
    <col min="34" max="34" width="11" style="1638" customWidth="1"/>
    <col min="35" max="35" width="8.57142857142857" style="1638" hidden="1" customWidth="1"/>
    <col min="36" max="36" width="4" style="1638" customWidth="1"/>
    <col min="37" max="37" width="115" style="1638" customWidth="1"/>
    <col min="38" max="42" width="10" style="1645" customWidth="1"/>
    <col min="43" max="43" width="10.5714285714286" style="1638" hidden="1"/>
  </cols>
  <sheetData>
    <row r="1" spans="24:43" ht="22.5" customHeight="1" hidden="1">
      <c r="X1" s="330"/>
      <c s="330"/>
      <c r="AE1" s="330"/>
      <c s="330"/>
      <c r="AQ1" s="1158" t="s">
        <v>14</v>
      </c>
    </row>
    <row r="2" spans="1:43" ht="23.25" customHeight="1" hidden="1">
      <c r="A2" s="1366"/>
      <c s="1366"/>
      <c s="1366"/>
      <c s="1366"/>
      <c s="2261">
        <v>1</v>
      </c>
      <c s="1366"/>
      <c s="1366"/>
      <c s="1366"/>
      <c s="1366"/>
      <c s="1366"/>
      <c s="1366"/>
      <c s="1367"/>
      <c s="1368"/>
      <c s="1368"/>
      <c s="1368"/>
      <c s="364"/>
      <c s="363"/>
      <c s="358"/>
      <c s="1496">
        <f>INDEX(PT_DIFFERENTIATION_NUM_NTAR,MATCH(A2,PT_DIFFERENTIATION_NTAR_ID,0))</f>
      </c>
      <c s="301" t="s">
        <v>125</v>
      </c>
      <c s="303"/>
      <c s="2245"/>
      <c s="2246"/>
      <c s="2246"/>
      <c s="2246"/>
      <c s="2246"/>
      <c s="2246"/>
      <c s="2247"/>
      <c s="2245">
        <f>INDEX(PT_DIFFERENTIATION_NTAR,MATCH(A2,PT_DIFFERENTIATION_NTAR_ID,0))</f>
      </c>
      <c s="2246"/>
      <c s="2246"/>
      <c s="2246"/>
      <c s="2246"/>
      <c s="2246"/>
      <c s="2246"/>
      <c s="2247"/>
      <c s="126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3"/>
      <c s="503" t="str">
        <f>IF(T2="","",T2)</f>
        <v>Наименование тарифа</v>
      </c>
      <c s="503"/>
      <c s="503"/>
      <c s="1158">
        <v>0</v>
      </c>
    </row>
    <row r="3" spans="1:43" ht="23.25" customHeight="1" hidden="1">
      <c r="A3" s="1366"/>
      <c s="1366"/>
      <c s="1366"/>
      <c s="1366"/>
      <c s="2262"/>
      <c s="2261">
        <v>1</v>
      </c>
      <c s="1366"/>
      <c s="1366"/>
      <c s="1366"/>
      <c s="1366"/>
      <c s="1366"/>
      <c s="1367"/>
      <c s="1368"/>
      <c s="1368"/>
      <c s="1368"/>
      <c s="1490"/>
      <c s="355"/>
      <c s="356"/>
      <c s="1496">
        <f>INDEX(PT_DIFFERENTIATION_NUM_TER,MATCH(B3,PT_DIFFERENTIATION_TER_ID,0))</f>
      </c>
      <c s="311" t="s">
        <v>397</v>
      </c>
      <c s="303"/>
      <c s="2245"/>
      <c s="2246"/>
      <c s="2246"/>
      <c s="2246"/>
      <c s="2246"/>
      <c s="2246"/>
      <c s="2247"/>
      <c s="2245">
        <f>INDEX(PT_DIFFERENTIATION_TER,MATCH(B3,PT_DIFFERENTIATION_TER_ID,0))</f>
      </c>
      <c s="2246"/>
      <c s="2246"/>
      <c s="2246"/>
      <c s="2246"/>
      <c s="2246"/>
      <c s="2246"/>
      <c s="2247"/>
      <c s="1261" t="s">
        <v>398</v>
      </c>
      <c r="AM3" s="503"/>
      <c s="503" t="str">
        <f>IF(T3="","",T3)</f>
        <v>Территория действия тарифа</v>
      </c>
      <c s="503"/>
      <c s="503"/>
      <c s="1158">
        <v>0</v>
      </c>
    </row>
    <row r="4" spans="1:43" ht="23.25" customHeight="1" hidden="1">
      <c r="A4" s="1366"/>
      <c s="1366"/>
      <c s="1366"/>
      <c s="1366"/>
      <c s="2262"/>
      <c s="2262"/>
      <c s="2261">
        <v>1</v>
      </c>
      <c s="1366"/>
      <c s="1366"/>
      <c s="1366"/>
      <c s="1366"/>
      <c s="1367"/>
      <c s="1368"/>
      <c s="1368"/>
      <c s="1368"/>
      <c s="357"/>
      <c s="355"/>
      <c s="356"/>
      <c s="1496">
        <f>INDEX(PT_DIFFERENTIATION_NUM_CS,MATCH(C4,PT_DIFFERENTIATION_CS_ID,0))</f>
      </c>
      <c s="312" t="s">
        <v>516</v>
      </c>
      <c s="303"/>
      <c s="2245"/>
      <c s="2246"/>
      <c s="2246"/>
      <c s="2246"/>
      <c s="2246"/>
      <c s="2246"/>
      <c s="2247"/>
      <c s="2245">
        <f>INDEX(PT_DIFFERENTIATION_CS,MATCH(C4,PT_DIFFERENTIATION_CS_ID,0))</f>
      </c>
      <c s="2246"/>
      <c s="2246"/>
      <c s="2246"/>
      <c s="2246"/>
      <c s="2246"/>
      <c s="2246"/>
      <c s="2247"/>
      <c s="1261" t="s">
        <v>517</v>
      </c>
      <c r="AM4" s="503"/>
      <c s="503" t="str">
        <f>IF(T4="","",T4)</f>
        <v>Наименование централизованной системы водоотведения</v>
      </c>
      <c s="503"/>
      <c s="503"/>
      <c s="1158">
        <v>0</v>
      </c>
    </row>
    <row r="5" spans="1:43" ht="23.25" customHeight="1" hidden="1">
      <c r="A5" s="1366"/>
      <c s="1366"/>
      <c s="1366"/>
      <c s="1366"/>
      <c s="2262"/>
      <c s="2262"/>
      <c s="2262"/>
      <c s="2262"/>
      <c s="2259">
        <f>S4&amp;".1"</f>
      </c>
      <c s="1366"/>
      <c s="1366"/>
      <c s="1367"/>
      <c r="P5" s="2260">
        <v>1</v>
      </c>
      <c s="1484"/>
      <c s="359"/>
      <c s="1496">
        <f>$I5</f>
      </c>
      <c s="288" t="s">
        <v>483</v>
      </c>
      <c s="303"/>
      <c s="2353"/>
      <c s="2354"/>
      <c s="2354"/>
      <c s="2354"/>
      <c s="2354"/>
      <c s="2354"/>
      <c s="2355"/>
      <c s="2356"/>
      <c s="2357"/>
      <c s="2357"/>
      <c s="2357"/>
      <c s="2357"/>
      <c s="2357"/>
      <c s="2357"/>
      <c s="2358"/>
      <c s="1261" t="s">
        <v>484</v>
      </c>
      <c r="AM5" s="503"/>
      <c s="503" t="str">
        <f>IF(T5="","",T5)</f>
        <v>Наименование признака дифференциации</v>
      </c>
      <c s="503"/>
      <c s="503"/>
      <c s="1158">
        <v>0</v>
      </c>
    </row>
    <row r="6" spans="1:43" ht="23.25" customHeight="1" hidden="1">
      <c r="A6" s="1366"/>
      <c s="1366"/>
      <c s="1366"/>
      <c s="1366"/>
      <c s="2262"/>
      <c s="2262"/>
      <c s="2262"/>
      <c s="2262"/>
      <c s="2289"/>
      <c s="2259">
        <f>I5&amp;".1"</f>
      </c>
      <c s="1366"/>
      <c s="1367" t="s">
        <v>406</v>
      </c>
      <c r="P6" s="2260"/>
      <c s="2260">
        <v>1</v>
      </c>
      <c s="360"/>
      <c s="1496">
        <f>$J6</f>
      </c>
      <c s="289" t="s">
        <v>407</v>
      </c>
      <c s="303"/>
      <c s="2248"/>
      <c s="2249"/>
      <c s="2249"/>
      <c s="2249"/>
      <c s="2249"/>
      <c s="2249"/>
      <c s="2250"/>
      <c s="2248"/>
      <c s="2249"/>
      <c s="2249"/>
      <c s="2249"/>
      <c s="2249"/>
      <c s="2249"/>
      <c s="2249"/>
      <c s="2250"/>
      <c s="1310" t="s">
        <v>485</v>
      </c>
      <c r="AM6" s="503"/>
      <c s="503" t="str">
        <f>IF(T6="","",T6)</f>
        <v>Группа потребителей</v>
      </c>
      <c s="503"/>
      <c s="503"/>
      <c s="1158">
        <v>0</v>
      </c>
    </row>
    <row r="7" spans="1:43" ht="23.25" customHeight="1" hidden="1">
      <c r="A7" s="1366"/>
      <c s="1366"/>
      <c s="1366"/>
      <c s="1366"/>
      <c s="2262"/>
      <c s="2262"/>
      <c s="2262"/>
      <c s="2262"/>
      <c s="2289"/>
      <c s="2289"/>
      <c s="2259">
        <f>J6&amp;".1"</f>
      </c>
      <c s="1367"/>
      <c r="P7" s="2260"/>
      <c s="2260"/>
      <c s="360">
        <v>1</v>
      </c>
      <c s="1496">
        <f>$K7</f>
      </c>
      <c s="1440"/>
      <c s="303"/>
      <c s="754"/>
      <c s="754"/>
      <c s="1260"/>
      <c s="2268"/>
      <c s="2110" t="s">
        <v>65</v>
      </c>
      <c s="2268"/>
      <c s="2110" t="s">
        <v>65</v>
      </c>
      <c s="754"/>
      <c s="754"/>
      <c s="1260"/>
      <c s="2268"/>
      <c s="2110" t="s">
        <v>65</v>
      </c>
      <c s="2290"/>
      <c s="2110" t="s">
        <v>65</v>
      </c>
      <c s="1441"/>
      <c s="235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s="514">
        <f>STRCHECKDATE(V8:AJ8)</f>
      </c>
      <c s="503"/>
      <c s="503" t="str">
        <f>IF(T7="","",T7)</f>
        <v/>
      </c>
      <c s="503"/>
      <c s="503"/>
      <c s="1158">
        <v>0</v>
      </c>
    </row>
    <row r="8" spans="1:43" ht="14.25" customHeight="1" hidden="1">
      <c r="A8" s="1366"/>
      <c s="1366"/>
      <c s="1366"/>
      <c s="1366"/>
      <c s="2262"/>
      <c s="2262"/>
      <c s="2262"/>
      <c s="2262"/>
      <c s="2289"/>
      <c s="2289"/>
      <c s="2259"/>
      <c s="1367"/>
      <c r="P8" s="2260"/>
      <c s="2260"/>
      <c s="360"/>
      <c s="1493"/>
      <c s="303"/>
      <c s="303"/>
      <c s="328"/>
      <c s="328"/>
      <c s="331" t="str">
        <f>Y7&amp;"-"&amp;AA7</f>
        <v>-</v>
      </c>
      <c s="2269"/>
      <c s="2110"/>
      <c s="2269"/>
      <c s="2110"/>
      <c s="328"/>
      <c s="328"/>
      <c s="331" t="str">
        <f>AF7&amp;"-"&amp;AH7</f>
        <v>-</v>
      </c>
      <c s="2269"/>
      <c s="2110"/>
      <c s="2291"/>
      <c s="2110"/>
      <c s="1442"/>
      <c s="2352"/>
      <c r="AM8" s="503"/>
      <c s="503" t="str">
        <f>IF(T8="","",T8)</f>
        <v/>
      </c>
      <c s="503"/>
      <c s="503"/>
      <c s="1158">
        <v>0</v>
      </c>
    </row>
    <row r="9" spans="1:43" ht="21" customHeight="1" hidden="1">
      <c r="A9" s="1366"/>
      <c s="1366"/>
      <c s="1366"/>
      <c s="1366"/>
      <c s="2262"/>
      <c s="2262"/>
      <c s="2262"/>
      <c s="2262"/>
      <c s="2289"/>
      <c s="2259"/>
      <c s="1366"/>
      <c s="1367"/>
      <c r="P9" s="2260"/>
      <c s="2260"/>
      <c s="359"/>
      <c s="1281"/>
      <c s="290" t="s">
        <v>486</v>
      </c>
      <c s="370"/>
      <c s="370"/>
      <c s="370"/>
      <c s="370"/>
      <c s="370"/>
      <c s="370"/>
      <c s="370"/>
      <c s="370"/>
      <c s="370"/>
      <c s="370"/>
      <c s="370"/>
      <c s="370"/>
      <c s="370"/>
      <c s="370"/>
      <c s="370"/>
      <c s="370"/>
      <c s="1261" t="s">
        <v>487</v>
      </c>
      <c r="AM9" s="503"/>
      <c s="503" t="str">
        <f>IF(T9="","",T9)</f>
        <v>Добавить значение признака дифференциации</v>
      </c>
      <c s="503"/>
      <c s="503"/>
      <c s="1158">
        <v>0</v>
      </c>
    </row>
    <row r="10" spans="1:43" ht="21" customHeight="1" hidden="1">
      <c r="A10" s="1366"/>
      <c s="1366"/>
      <c s="1366"/>
      <c s="1366"/>
      <c s="2262"/>
      <c s="2262"/>
      <c s="2262"/>
      <c s="2262"/>
      <c s="2259"/>
      <c s="1366"/>
      <c s="1366"/>
      <c s="1367"/>
      <c r="P10" s="2260"/>
      <c s="1484"/>
      <c s="359"/>
      <c s="1281"/>
      <c s="368" t="s">
        <v>412</v>
      </c>
      <c s="370"/>
      <c s="370"/>
      <c s="370"/>
      <c s="370"/>
      <c s="370"/>
      <c s="370"/>
      <c s="370"/>
      <c s="369"/>
      <c s="370"/>
      <c s="370"/>
      <c s="370"/>
      <c s="370"/>
      <c s="370"/>
      <c s="370"/>
      <c s="369"/>
      <c s="370"/>
      <c s="1443"/>
      <c r="AM10" s="503"/>
      <c s="503" t="str">
        <f>IF(T10="","",T10)</f>
        <v>Добавить группу потребителей</v>
      </c>
      <c s="503"/>
      <c s="503"/>
      <c s="1158">
        <v>0</v>
      </c>
    </row>
    <row r="11" spans="1:43" ht="21" customHeight="1" hidden="1">
      <c r="A11" s="1366"/>
      <c s="1366"/>
      <c s="1366"/>
      <c s="1366"/>
      <c s="2262"/>
      <c s="2262"/>
      <c s="2262"/>
      <c s="2261"/>
      <c s="1366"/>
      <c s="1366"/>
      <c s="1366"/>
      <c s="1367"/>
      <c s="1368"/>
      <c s="1368"/>
      <c s="540"/>
      <c s="363"/>
      <c s="378"/>
      <c s="358"/>
      <c s="1281"/>
      <c s="375" t="s">
        <v>488</v>
      </c>
      <c s="370"/>
      <c s="370"/>
      <c s="370"/>
      <c s="370"/>
      <c s="370"/>
      <c s="370"/>
      <c s="370"/>
      <c s="369"/>
      <c s="370"/>
      <c s="370"/>
      <c s="370"/>
      <c s="370"/>
      <c s="370"/>
      <c s="370"/>
      <c s="369"/>
      <c s="370"/>
      <c s="306"/>
      <c r="AM11" s="503"/>
      <c s="503" t="str">
        <f>IF(T11="","",T11)</f>
        <v>Добавить наименование признака дифференциации</v>
      </c>
      <c s="503"/>
      <c s="503"/>
      <c s="1158">
        <v>0</v>
      </c>
    </row>
    <row r="12" spans="1:43" s="1645" customFormat="1" ht="14.25" customHeight="1" hidden="1">
      <c r="A12" s="1346"/>
      <c s="1346"/>
      <c s="1317"/>
      <c s="1317"/>
      <c s="2262"/>
      <c s="2261"/>
      <c s="1317"/>
      <c s="1317"/>
      <c s="1317"/>
      <c s="1317"/>
      <c s="1317"/>
      <c s="1497"/>
      <c s="1324"/>
      <c s="1324"/>
      <c r="P12" s="1319"/>
      <c s="1320"/>
      <c s="1319"/>
      <c s="1325"/>
      <c s="1328" t="s">
        <v>415</v>
      </c>
      <c s="1327"/>
      <c s="1327"/>
      <c s="1327"/>
      <c s="1327"/>
      <c s="1327"/>
      <c s="1327"/>
      <c s="1327"/>
      <c s="1327"/>
      <c s="1327"/>
      <c s="1327"/>
      <c s="1327"/>
      <c s="1327"/>
      <c s="1327"/>
      <c s="1327"/>
      <c s="1327"/>
      <c s="1327"/>
      <c s="1327"/>
      <c r="AM12" s="792"/>
      <c s="792" t="str">
        <f>IF(T12="","",T12)</f>
        <v>Добавить централизованную систему для дифференциации</v>
      </c>
      <c s="792"/>
      <c s="792"/>
      <c s="521">
        <v>0</v>
      </c>
    </row>
    <row r="13" spans="1:43" s="1645" customFormat="1" ht="14.25" customHeight="1" hidden="1">
      <c r="A13" s="1346"/>
      <c s="1346"/>
      <c s="1346"/>
      <c s="1346"/>
      <c s="2261"/>
      <c s="1346"/>
      <c s="1346"/>
      <c s="1346"/>
      <c s="1346"/>
      <c s="1346"/>
      <c s="1346"/>
      <c s="1349"/>
      <c s="1324"/>
      <c s="1324"/>
      <c s="521"/>
      <c s="383"/>
      <c s="1347"/>
      <c s="383"/>
      <c s="1325"/>
      <c s="1328" t="s">
        <v>416</v>
      </c>
      <c s="1327"/>
      <c s="1327"/>
      <c s="1327"/>
      <c s="1327"/>
      <c s="1327"/>
      <c s="1327"/>
      <c s="1327"/>
      <c s="1327"/>
      <c s="1327"/>
      <c s="1327"/>
      <c s="1327"/>
      <c s="1327"/>
      <c s="1327"/>
      <c s="1327"/>
      <c s="1327"/>
      <c s="1327"/>
      <c s="1327"/>
      <c r="AM13" s="503"/>
      <c s="503" t="str">
        <f>IF(T13="","",T13)</f>
        <v>Добавить территорию для дифференциации</v>
      </c>
      <c s="503"/>
      <c s="503"/>
      <c s="514">
        <v>0</v>
      </c>
    </row>
    <row r="14" spans="28:43" ht="14.25" customHeight="1" hidden="1">
      <c r="AB14" s="330"/>
      <c r="AI14" s="330"/>
      <c r="AQ14" s="1158">
        <v>0</v>
      </c>
    </row>
    <row r="15" spans="29:43" ht="14.25" customHeight="1" hidden="1">
      <c r="AC15" s="1363"/>
      <c s="1363"/>
      <c s="1364"/>
      <c s="2270"/>
      <c s="2271" t="s">
        <v>65</v>
      </c>
      <c s="2270"/>
      <c s="2271" t="s">
        <v>65</v>
      </c>
      <c r="AQ15" s="1158">
        <v>0</v>
      </c>
    </row>
    <row r="16" spans="29:43" ht="14.25" customHeight="1" hidden="1">
      <c r="AC16" s="1363"/>
      <c s="1363"/>
      <c s="331" t="str">
        <f>AF15&amp;"-"&amp;AH15</f>
        <v>-</v>
      </c>
      <c s="2271"/>
      <c s="2271"/>
      <c s="2271"/>
      <c s="2271"/>
      <c r="AQ16" s="1158">
        <v>0</v>
      </c>
    </row>
    <row r="17" spans="35:43" ht="14.25" customHeight="1" hidden="1">
      <c r="AI17" s="330"/>
      <c r="AQ17" s="1158">
        <v>0</v>
      </c>
    </row>
    <row r="18" spans="12:43" s="1369" customFormat="1" ht="22.5" customHeight="1" hidden="1">
      <c r="L18" s="1481"/>
      <c s="1365"/>
      <c s="1365"/>
      <c s="1370" t="s">
        <v>417</v>
      </c>
      <c s="1365"/>
      <c s="1374"/>
      <c s="1374"/>
      <c s="732"/>
      <c r="Y18" s="1370"/>
      <c r="AA18" s="1370"/>
      <c s="1369"/>
      <c r="AF18" s="1370"/>
      <c r="AH18" s="1370"/>
      <c s="1369"/>
      <c r="AL18" s="514"/>
      <c s="514"/>
      <c s="514"/>
      <c s="514"/>
      <c s="514"/>
      <c s="1163">
        <v>0</v>
      </c>
    </row>
    <row r="19" spans="12:43" s="1369" customFormat="1" ht="14.25" customHeight="1" hidden="1">
      <c r="L19" s="1481"/>
      <c s="1365"/>
      <c s="1365"/>
      <c s="1365"/>
      <c s="1365"/>
      <c s="1374"/>
      <c s="1374"/>
      <c s="732"/>
      <c r="AB19" s="1369"/>
      <c r="AI19" s="1369"/>
      <c r="AL19" s="514"/>
      <c s="514"/>
      <c s="514"/>
      <c s="514"/>
      <c s="514"/>
      <c s="1163">
        <v>0</v>
      </c>
    </row>
    <row r="20" spans="12:43" s="1369" customFormat="1" ht="12" customHeight="1" hidden="1">
      <c r="L20" s="1481"/>
      <c s="1365"/>
      <c s="1365"/>
      <c s="1367" t="s">
        <v>418</v>
      </c>
      <c s="1365"/>
      <c s="1445"/>
      <c s="1445"/>
      <c s="732"/>
      <c s="1163" t="s">
        <v>419</v>
      </c>
      <c r="Z20" s="189" t="s">
        <v>420</v>
      </c>
      <c r="AB20" s="189" t="s">
        <v>421</v>
      </c>
      <c s="1163" t="s">
        <v>419</v>
      </c>
      <c r="AG20" s="189" t="s">
        <v>422</v>
      </c>
      <c r="AI20" s="189" t="s">
        <v>421</v>
      </c>
      <c r="AQ20" s="1163">
        <v>0</v>
      </c>
    </row>
    <row r="21" spans="15:43" ht="14.25" customHeight="1" hidden="1">
      <c r="O21" s="1367"/>
      <c r="AQ21" s="1158">
        <v>0</v>
      </c>
    </row>
    <row r="22" spans="15:43" ht="14.25" customHeight="1" hidden="1">
      <c r="O22" s="1367"/>
      <c r="AQ22" s="1158">
        <v>0</v>
      </c>
    </row>
    <row r="23" spans="17:43" ht="14.7" customHeight="1">
      <c r="Q23" s="379"/>
      <c s="379"/>
      <c s="1278"/>
      <c s="366"/>
      <c s="366"/>
      <c s="512"/>
      <c s="512"/>
      <c s="512"/>
      <c s="512"/>
      <c s="512"/>
      <c s="512"/>
      <c s="512"/>
      <c s="512"/>
      <c s="512"/>
      <c s="512"/>
      <c s="512"/>
      <c s="512"/>
      <c s="512"/>
      <c s="512"/>
      <c r="AQ23" s="1158">
        <v>14</v>
      </c>
    </row>
    <row r="24" spans="17:43" ht="14.7" customHeight="1">
      <c r="Q24" s="379"/>
      <c s="379"/>
      <c s="2251"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s="2251"/>
      <c s="2251"/>
      <c s="2251"/>
      <c s="2251"/>
      <c s="2251"/>
      <c s="2251"/>
      <c s="2251"/>
      <c s="2251"/>
      <c s="2251"/>
      <c s="2251"/>
      <c s="2251"/>
      <c s="2251"/>
      <c s="2251"/>
      <c s="2251"/>
      <c s="2251"/>
      <c s="1246"/>
      <c r="AQ24" s="1158">
        <v>14</v>
      </c>
    </row>
    <row r="25" spans="17:43" ht="14.7" customHeight="1">
      <c r="Q25" s="379"/>
      <c s="379"/>
      <c s="2252" t="str">
        <f>IF(org=0,"Не определено",org)</f>
        <v>ГУП КК "Кубаньводкомплекс"</v>
      </c>
      <c s="2252"/>
      <c s="2252"/>
      <c s="2252"/>
      <c s="2252"/>
      <c s="2252"/>
      <c s="2252"/>
      <c s="2252"/>
      <c s="2252"/>
      <c s="2252"/>
      <c s="2252"/>
      <c s="2252"/>
      <c s="2252"/>
      <c s="2252"/>
      <c s="2252"/>
      <c s="2252"/>
      <c s="1246"/>
      <c r="AQ25" s="1158">
        <v>14</v>
      </c>
    </row>
    <row r="26" spans="17:43" ht="14.25" customHeight="1" hidden="1">
      <c r="Q26" s="379"/>
      <c s="379"/>
      <c s="1278"/>
      <c s="366"/>
      <c s="366"/>
      <c s="325"/>
      <c s="325"/>
      <c s="325"/>
      <c s="325"/>
      <c s="325"/>
      <c s="325"/>
      <c s="325"/>
      <c s="325"/>
      <c s="325"/>
      <c s="325"/>
      <c s="325"/>
      <c s="325"/>
      <c s="325"/>
      <c s="325"/>
      <c s="512"/>
      <c r="AQ26" s="1158">
        <v>0</v>
      </c>
    </row>
    <row r="27" spans="1:43" s="1856" customFormat="1" ht="25.5" customHeight="1" hidden="1">
      <c r="A27" s="1371"/>
      <c s="1371"/>
      <c s="1371"/>
      <c s="1371"/>
      <c s="1371"/>
      <c s="1371"/>
      <c s="1371"/>
      <c s="1371"/>
      <c s="1371"/>
      <c s="1371"/>
      <c s="1371"/>
      <c s="1372"/>
      <c s="1371"/>
      <c s="1371"/>
      <c s="1371"/>
      <c r="S27" s="2253" t="s">
        <v>42</v>
      </c>
      <c s="2253"/>
      <c s="1375"/>
      <c s="2254" t="str">
        <f>IF(TITLE_NAME_OR_PR_CHANGE="",IF(TITLE_NAME_OR_PR="","",TITLE_NAME_OR_PR),TITLE_NAME_OR_PR_CHANGE)</f>
        <v/>
      </c>
      <c s="2254"/>
      <c s="2254"/>
      <c s="2254"/>
      <c s="2254"/>
      <c s="2254"/>
      <c s="329"/>
      <c s="2254" t="str">
        <f>IF(TITLE_NAME_OR_PR_CHANGE="",IF(TITLE_NAME_OR_PR="","",TITLE_NAME_OR_PR),TITLE_NAME_OR_PR_CHANGE)</f>
        <v/>
      </c>
      <c s="2254"/>
      <c s="2254"/>
      <c s="2254"/>
      <c s="2254"/>
      <c s="2254"/>
      <c s="329"/>
      <c s="329"/>
      <c s="283"/>
      <c s="371"/>
      <c s="371"/>
      <c s="371"/>
      <c s="371"/>
      <c s="371"/>
      <c s="421">
        <v>0</v>
      </c>
    </row>
    <row r="28" spans="1:43" s="1856" customFormat="1" ht="18.75" customHeight="1" hidden="1">
      <c r="A28" s="1371"/>
      <c s="1371"/>
      <c s="1371"/>
      <c s="1371"/>
      <c s="1371"/>
      <c s="1371"/>
      <c s="1371"/>
      <c s="1371"/>
      <c s="1371"/>
      <c s="1371"/>
      <c s="1371"/>
      <c s="1372"/>
      <c s="1371"/>
      <c s="1371"/>
      <c s="1371"/>
      <c r="S28" s="2253" t="s">
        <v>423</v>
      </c>
      <c s="2253"/>
      <c s="1375"/>
      <c s="2267" t="str">
        <f>IF(TITLE_DATE_PR_CHANGE="",IF(TITLE_DATE_PR="","",TITLE_DATE_PR),TITLE_DATE_PR_CHANGE)</f>
        <v/>
      </c>
      <c s="2267"/>
      <c s="2267"/>
      <c s="2267"/>
      <c s="2267"/>
      <c s="2267"/>
      <c s="329"/>
      <c s="2267" t="str">
        <f>IF(TITLE_DATE_PR_CHANGE="",IF(TITLE_DATE_PR="","",TITLE_DATE_PR),TITLE_DATE_PR_CHANGE)</f>
        <v/>
      </c>
      <c s="2267"/>
      <c s="2267"/>
      <c s="2267"/>
      <c s="2267"/>
      <c s="2267"/>
      <c s="329"/>
      <c s="329"/>
      <c s="283"/>
      <c s="371"/>
      <c s="371"/>
      <c s="371"/>
      <c s="371"/>
      <c s="371"/>
      <c s="421">
        <v>0</v>
      </c>
    </row>
    <row r="29" spans="1:43" s="1856" customFormat="1" ht="18.75" customHeight="1" hidden="1">
      <c r="A29" s="1371"/>
      <c s="1371"/>
      <c s="1371"/>
      <c s="1371"/>
      <c s="1371"/>
      <c s="1371"/>
      <c s="1371"/>
      <c s="1371"/>
      <c s="1371"/>
      <c s="1371"/>
      <c s="1371"/>
      <c s="1372"/>
      <c s="1371"/>
      <c s="1371"/>
      <c s="1371"/>
      <c r="S29" s="2253" t="s">
        <v>424</v>
      </c>
      <c s="2253"/>
      <c s="1375"/>
      <c s="2254" t="str">
        <f>IF(TITLE_NUMBER_PR_CHANGE="",IF(TITLE_NUMBER_PR="","",TITLE_NUMBER_PR),TITLE_NUMBER_PR_CHANGE)</f>
        <v/>
      </c>
      <c s="2254"/>
      <c s="2254"/>
      <c s="2254"/>
      <c s="2254"/>
      <c s="2254"/>
      <c s="329"/>
      <c s="2254" t="str">
        <f>IF(TITLE_NUMBER_PR_CHANGE="",IF(TITLE_NUMBER_PR="","",TITLE_NUMBER_PR),TITLE_NUMBER_PR_CHANGE)</f>
        <v/>
      </c>
      <c s="2254"/>
      <c s="2254"/>
      <c s="2254"/>
      <c s="2254"/>
      <c s="2254"/>
      <c s="329"/>
      <c s="329"/>
      <c s="283"/>
      <c s="371"/>
      <c s="371"/>
      <c s="371"/>
      <c s="371"/>
      <c s="371"/>
      <c s="421">
        <v>0</v>
      </c>
    </row>
    <row r="30" spans="1:43" s="1856" customFormat="1" ht="18.75" customHeight="1" hidden="1">
      <c r="A30" s="1371"/>
      <c s="1371"/>
      <c s="1371"/>
      <c s="1371"/>
      <c s="1371"/>
      <c s="1371"/>
      <c s="1371"/>
      <c s="1371"/>
      <c s="1371"/>
      <c s="1371"/>
      <c s="1371"/>
      <c s="1372"/>
      <c s="1371"/>
      <c s="1371"/>
      <c s="1371"/>
      <c r="S30" s="2253" t="s">
        <v>43</v>
      </c>
      <c s="2253"/>
      <c s="1375"/>
      <c s="2254" t="str">
        <f>IF(TITLE_IST_PUB_CHANGE="",IF(TITLE_IST_PUB="","",TITLE_IST_PUB),TITLE_IST_PUB_CHANGE)</f>
        <v/>
      </c>
      <c s="2254"/>
      <c s="2254"/>
      <c s="2254"/>
      <c s="2254"/>
      <c s="2254"/>
      <c s="329"/>
      <c s="2254" t="str">
        <f>IF(TITLE_IST_PUB_CHANGE="",IF(TITLE_IST_PUB="","",TITLE_IST_PUB),TITLE_IST_PUB_CHANGE)</f>
        <v/>
      </c>
      <c s="2254"/>
      <c s="2254"/>
      <c s="2254"/>
      <c s="2254"/>
      <c s="2254"/>
      <c s="329"/>
      <c s="329"/>
      <c s="283"/>
      <c s="371"/>
      <c s="371"/>
      <c s="371"/>
      <c s="371"/>
      <c s="371"/>
      <c s="421">
        <v>0</v>
      </c>
    </row>
    <row r="31" spans="17:43" ht="14.25" customHeight="1" hidden="1">
      <c r="Q31" s="379"/>
      <c s="379"/>
      <c s="1278"/>
      <c s="366"/>
      <c s="366"/>
      <c s="325"/>
      <c s="325"/>
      <c s="325"/>
      <c s="325"/>
      <c s="325"/>
      <c s="325"/>
      <c s="325"/>
      <c s="325"/>
      <c s="325"/>
      <c s="325"/>
      <c s="325"/>
      <c s="325"/>
      <c s="325"/>
      <c s="325"/>
      <c s="512"/>
      <c r="AQ31" s="1158">
        <v>0</v>
      </c>
    </row>
    <row r="32" spans="1:43" s="1856" customFormat="1" ht="18.75" customHeight="1" hidden="1">
      <c r="A32" s="1371"/>
      <c s="1371"/>
      <c s="1371"/>
      <c s="1371"/>
      <c s="1371"/>
      <c s="1371"/>
      <c s="1371"/>
      <c s="1371"/>
      <c s="1371"/>
      <c s="1371"/>
      <c s="1371"/>
      <c s="1372"/>
      <c s="1371"/>
      <c s="1371"/>
      <c s="1371"/>
      <c r="S32" s="2253" t="s">
        <v>425</v>
      </c>
      <c s="2253"/>
      <c s="1375"/>
      <c s="2267" t="str">
        <f>IF(TITLE_DATE_PR_CHANGE="",IF(TITLE_DATE_PR="","",TITLE_DATE_PR),TITLE_DATE_PR_CHANGE)</f>
        <v/>
      </c>
      <c s="2267"/>
      <c s="2267"/>
      <c s="2267"/>
      <c s="2267"/>
      <c s="2267"/>
      <c s="329"/>
      <c s="2267" t="str">
        <f>IF(TITLE_DATE_PR_CHANGE="",IF(TITLE_DATE_PR="","",TITLE_DATE_PR),TITLE_DATE_PR_CHANGE)</f>
        <v/>
      </c>
      <c s="2267"/>
      <c s="2267"/>
      <c s="2267"/>
      <c s="2267"/>
      <c s="2267"/>
      <c s="329"/>
      <c s="329"/>
      <c s="283"/>
      <c s="371"/>
      <c s="371"/>
      <c s="371"/>
      <c s="371"/>
      <c s="371"/>
      <c s="421">
        <v>0</v>
      </c>
    </row>
    <row r="33" spans="1:43" s="1856" customFormat="1" ht="18.75" customHeight="1" hidden="1">
      <c r="A33" s="1371"/>
      <c s="1371"/>
      <c s="1371"/>
      <c s="1371"/>
      <c s="1371"/>
      <c s="1371"/>
      <c s="1371"/>
      <c s="1371"/>
      <c s="1371"/>
      <c s="1371"/>
      <c s="1371"/>
      <c s="1372"/>
      <c s="1371"/>
      <c s="1371"/>
      <c s="1371"/>
      <c r="S33" s="2253" t="s">
        <v>426</v>
      </c>
      <c s="2253"/>
      <c s="1375"/>
      <c s="2254" t="str">
        <f>IF(TITLE_NUMBER_PR_CHANGE="",IF(TITLE_NUMBER_PR="","",TITLE_NUMBER_PR),TITLE_NUMBER_PR_CHANGE)</f>
        <v/>
      </c>
      <c s="2254"/>
      <c s="2254"/>
      <c s="2254"/>
      <c s="2254"/>
      <c s="2254"/>
      <c s="329"/>
      <c s="2254" t="str">
        <f>IF(TITLE_NUMBER_PR_CHANGE="",IF(TITLE_NUMBER_PR="","",TITLE_NUMBER_PR),TITLE_NUMBER_PR_CHANGE)</f>
        <v/>
      </c>
      <c s="2254"/>
      <c s="2254"/>
      <c s="2254"/>
      <c s="2254"/>
      <c s="2254"/>
      <c s="329"/>
      <c s="329"/>
      <c s="283"/>
      <c s="371"/>
      <c s="371"/>
      <c s="371"/>
      <c s="371"/>
      <c s="371"/>
      <c s="421">
        <v>0</v>
      </c>
    </row>
    <row r="34" spans="1:43" s="1856" customFormat="1" ht="1.05" customHeight="1">
      <c r="A34" s="1371"/>
      <c s="1371"/>
      <c s="1371"/>
      <c s="1371"/>
      <c s="1371"/>
      <c s="1371"/>
      <c s="1371"/>
      <c s="1371"/>
      <c s="1371"/>
      <c s="1371"/>
      <c s="1371"/>
      <c s="1372"/>
      <c s="1371"/>
      <c s="1371"/>
      <c s="1371"/>
      <c r="S34" s="326"/>
      <c s="326"/>
      <c s="1491"/>
      <c s="329"/>
      <c s="329"/>
      <c s="329"/>
      <c s="329"/>
      <c s="329"/>
      <c s="329"/>
      <c s="281" t="s">
        <v>427</v>
      </c>
      <c s="329"/>
      <c s="329"/>
      <c s="329"/>
      <c s="329"/>
      <c s="329"/>
      <c s="329"/>
      <c s="281" t="s">
        <v>427</v>
      </c>
      <c r="AL34" s="371"/>
      <c s="371"/>
      <c s="371"/>
      <c s="371"/>
      <c s="371"/>
      <c s="421">
        <v>1</v>
      </c>
    </row>
    <row r="35" spans="17:43" ht="14.7" customHeight="1">
      <c r="Q35" s="379"/>
      <c s="379"/>
      <c s="1278"/>
      <c s="366"/>
      <c s="1247"/>
      <c s="2255"/>
      <c s="2255"/>
      <c s="2255"/>
      <c s="2255"/>
      <c s="2255"/>
      <c s="2255"/>
      <c s="2255"/>
      <c s="2255"/>
      <c s="2255"/>
      <c s="2255"/>
      <c s="2255"/>
      <c s="2255"/>
      <c s="2255"/>
      <c s="2255"/>
      <c r="AQ35" s="1158">
        <v>14</v>
      </c>
    </row>
    <row r="36" spans="17:43" ht="14.7" customHeight="1">
      <c r="Q36" s="379"/>
      <c s="379"/>
      <c s="2130" t="s">
        <v>300</v>
      </c>
      <c s="2130"/>
      <c s="2130"/>
      <c s="2130"/>
      <c s="2130"/>
      <c s="2130"/>
      <c s="2130"/>
      <c s="2130"/>
      <c s="2130"/>
      <c s="2130"/>
      <c s="2130"/>
      <c s="2130"/>
      <c s="2130"/>
      <c s="2130"/>
      <c s="2130"/>
      <c s="2130"/>
      <c s="2130"/>
      <c s="2130"/>
      <c s="2130" t="s">
        <v>301</v>
      </c>
      <c r="AQ36" s="1158">
        <v>14</v>
      </c>
    </row>
    <row r="37" spans="17:43" ht="14.7" customHeight="1">
      <c r="Q37" s="379"/>
      <c s="379"/>
      <c s="2276" t="s">
        <v>87</v>
      </c>
      <c s="2212" t="s">
        <v>428</v>
      </c>
      <c s="304"/>
      <c s="2277" t="s">
        <v>429</v>
      </c>
      <c s="2278"/>
      <c s="2278"/>
      <c s="2278"/>
      <c s="2278"/>
      <c s="2279"/>
      <c s="2280" t="s">
        <v>430</v>
      </c>
      <c s="2277" t="s">
        <v>429</v>
      </c>
      <c s="2278"/>
      <c s="2278"/>
      <c s="2278"/>
      <c s="2278"/>
      <c s="2279"/>
      <c s="2280" t="s">
        <v>431</v>
      </c>
      <c s="2283" t="s">
        <v>432</v>
      </c>
      <c s="2130"/>
      <c r="AQ37" s="1158">
        <v>14</v>
      </c>
    </row>
    <row r="38" spans="17:43" ht="35.7" customHeight="1">
      <c r="Q38" s="379"/>
      <c s="379"/>
      <c s="2276"/>
      <c s="2212"/>
      <c s="1034"/>
      <c s="1486" t="s">
        <v>489</v>
      </c>
      <c s="2265" t="s">
        <v>435</v>
      </c>
      <c s="2266"/>
      <c s="2265" t="s">
        <v>436</v>
      </c>
      <c s="2272"/>
      <c s="2266"/>
      <c s="2281"/>
      <c s="1486" t="s">
        <v>489</v>
      </c>
      <c s="2265" t="s">
        <v>435</v>
      </c>
      <c s="2266"/>
      <c s="2265" t="s">
        <v>436</v>
      </c>
      <c s="2272"/>
      <c s="2266"/>
      <c s="2281"/>
      <c s="2284"/>
      <c s="2130"/>
      <c r="AQ38" s="1158">
        <v>34</v>
      </c>
    </row>
    <row r="39" spans="1:43" ht="90.3" customHeight="1">
      <c r="A39" s="1373"/>
      <c s="1373" t="s">
        <v>137</v>
      </c>
      <c s="1373" t="s">
        <v>138</v>
      </c>
      <c s="1373" t="s">
        <v>139</v>
      </c>
      <c s="1367" t="s">
        <v>437</v>
      </c>
      <c s="1367" t="s">
        <v>438</v>
      </c>
      <c s="1367" t="s">
        <v>439</v>
      </c>
      <c s="1367"/>
      <c s="1367" t="s">
        <v>490</v>
      </c>
      <c s="1367" t="s">
        <v>442</v>
      </c>
      <c s="1367" t="s">
        <v>491</v>
      </c>
      <c s="1367" t="s">
        <v>418</v>
      </c>
      <c r="Q39" s="379"/>
      <c s="379"/>
      <c s="2276"/>
      <c s="2212"/>
      <c s="305"/>
      <c s="1486" t="s">
        <v>518</v>
      </c>
      <c s="1225" t="s">
        <v>519</v>
      </c>
      <c s="1225" t="s">
        <v>494</v>
      </c>
      <c s="1492" t="s">
        <v>446</v>
      </c>
      <c s="2273" t="s">
        <v>447</v>
      </c>
      <c s="2274"/>
      <c s="2282"/>
      <c s="1486" t="s">
        <v>518</v>
      </c>
      <c s="1225" t="s">
        <v>519</v>
      </c>
      <c s="1225" t="s">
        <v>494</v>
      </c>
      <c s="1492" t="s">
        <v>446</v>
      </c>
      <c s="2273" t="s">
        <v>447</v>
      </c>
      <c s="2274"/>
      <c s="2282"/>
      <c s="2285"/>
      <c s="2130"/>
      <c r="AQ39" s="1158">
        <v>86</v>
      </c>
    </row>
    <row r="40" spans="1:43" s="1644" customFormat="1" ht="0" customHeight="1">
      <c r="A40" s="1373"/>
      <c s="1373"/>
      <c s="1373"/>
      <c s="1373"/>
      <c s="1373"/>
      <c s="1373"/>
      <c s="1373"/>
      <c s="1373"/>
      <c s="1373"/>
      <c s="1373"/>
      <c s="1373"/>
      <c s="1367"/>
      <c s="1365"/>
      <c s="1365"/>
      <c s="1365"/>
      <c s="1249"/>
      <c s="1250"/>
      <c s="1257">
        <v>1</v>
      </c>
      <c s="1280" t="s">
        <v>109</v>
      </c>
      <c s="1258" t="s">
        <v>110</v>
      </c>
      <c s="1248" t="str">
        <f ca="1">OFFSET(U40,0,-1)</f>
        <v>2</v>
      </c>
      <c s="1485">
        <f ca="1">OFFSET(V40,0,-1)+1</f>
        <v>3</v>
      </c>
      <c s="1485">
        <f ca="1">OFFSET(W40,0,-1)+1</f>
        <v>4</v>
      </c>
      <c s="1485">
        <f ca="1">OFFSET(X40,0,-1)+1</f>
        <v>5</v>
      </c>
      <c s="1485">
        <f ca="1">OFFSET(Y40,0,-1)+1</f>
        <v>6</v>
      </c>
      <c s="2275">
        <f ca="1">OFFSET(Z40,0,-1)+1</f>
        <v>7</v>
      </c>
      <c s="2275"/>
      <c s="1485">
        <f ca="1">OFFSET(AB40,0,-2)+1</f>
        <v>8</v>
      </c>
      <c s="1485">
        <f ca="1">OFFSET(AC40,0,-1)+1</f>
        <v>9</v>
      </c>
      <c s="1485">
        <f ca="1">OFFSET(AD40,0,-1)+1</f>
        <v>10</v>
      </c>
      <c s="1485">
        <f ca="1">OFFSET(AE40,0,-1)+1</f>
        <v>11</v>
      </c>
      <c s="1485">
        <f ca="1">OFFSET(AF40,0,-1)+1</f>
        <v>12</v>
      </c>
      <c s="2275">
        <f ca="1">OFFSET(AG40,0,-1)+1</f>
        <v>13</v>
      </c>
      <c s="2275"/>
      <c s="1485">
        <f ca="1">OFFSET(AI40,0,-2)+1</f>
        <v>14</v>
      </c>
      <c s="1248">
        <f ca="1">OFFSET(AJ40,0,-1)</f>
        <v>14</v>
      </c>
      <c s="1485">
        <f ca="1">OFFSET(AK40,0,-1)+1</f>
        <v>15</v>
      </c>
      <c s="514"/>
      <c s="514"/>
      <c s="514"/>
      <c s="514"/>
      <c s="514"/>
      <c s="499">
        <v>0</v>
      </c>
    </row>
    <row r="41" spans="1:43" ht="24" customHeight="1">
      <c r="A41" s="1366" t="s">
        <v>271</v>
      </c>
      <c s="1366"/>
      <c s="1366"/>
      <c s="1366"/>
      <c s="2261">
        <v>1</v>
      </c>
      <c s="1366"/>
      <c s="1366"/>
      <c s="1366"/>
      <c s="1366"/>
      <c s="1366"/>
      <c s="1366"/>
      <c s="1367"/>
      <c s="1368"/>
      <c s="1368"/>
      <c s="1368"/>
      <c s="364"/>
      <c s="363"/>
      <c s="358"/>
      <c s="1496">
        <f>INDEX(PT_DIFFERENTIATION_NUM_NTAR,MATCH(A41,PT_DIFFERENTIATION_NTAR_ID,0))</f>
        <v>0</v>
      </c>
      <c s="301" t="s">
        <v>125</v>
      </c>
      <c s="303"/>
      <c s="2245"/>
      <c s="2246"/>
      <c s="2246"/>
      <c s="2246"/>
      <c s="2246"/>
      <c s="2246"/>
      <c s="2247"/>
      <c s="2245" t="str">
        <f>INDEX(PT_DIFFERENTIATION_NTAR,MATCH(A41,PT_DIFFERENTIATION_NTAR_ID,0))</f>
        <v/>
      </c>
      <c s="2246"/>
      <c s="2246"/>
      <c s="2246"/>
      <c s="2246"/>
      <c s="2246"/>
      <c s="2246"/>
      <c s="2247"/>
      <c s="126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3"/>
      <c s="503" t="str">
        <f>IF(T41="","",T41)</f>
        <v>Наименование тарифа</v>
      </c>
      <c s="503"/>
      <c s="503"/>
      <c s="1158">
        <v>23</v>
      </c>
    </row>
    <row r="42" spans="1:43" ht="24" customHeight="1">
      <c r="A42" s="1366" t="s">
        <v>271</v>
      </c>
      <c s="1366" t="s">
        <v>272</v>
      </c>
      <c s="1366"/>
      <c s="1366"/>
      <c s="2262"/>
      <c s="2261">
        <v>1</v>
      </c>
      <c s="1366"/>
      <c s="1366"/>
      <c s="1366"/>
      <c s="1366"/>
      <c s="1366"/>
      <c s="1367"/>
      <c s="1368"/>
      <c s="1368"/>
      <c s="1368"/>
      <c s="1490"/>
      <c s="355"/>
      <c s="356"/>
      <c s="1496" t="str">
        <f>INDEX(PT_DIFFERENTIATION_NUM_TER,MATCH(B42,PT_DIFFERENTIATION_TER_ID,0))</f>
        <v>.</v>
      </c>
      <c s="311" t="s">
        <v>397</v>
      </c>
      <c s="303"/>
      <c s="2245"/>
      <c s="2246"/>
      <c s="2246"/>
      <c s="2246"/>
      <c s="2246"/>
      <c s="2246"/>
      <c s="2247"/>
      <c s="2245" t="str">
        <f>INDEX(PT_DIFFERENTIATION_TER,MATCH(B42,PT_DIFFERENTIATION_TER_ID,0))</f>
        <v/>
      </c>
      <c s="2246"/>
      <c s="2246"/>
      <c s="2246"/>
      <c s="2246"/>
      <c s="2246"/>
      <c s="2246"/>
      <c s="2247"/>
      <c s="1261" t="s">
        <v>398</v>
      </c>
      <c r="AM42" s="503"/>
      <c s="503" t="str">
        <f>IF(T42="","",T42)</f>
        <v>Территория действия тарифа</v>
      </c>
      <c s="503"/>
      <c s="503"/>
      <c s="1158">
        <v>23</v>
      </c>
    </row>
    <row r="43" spans="1:43" ht="24" customHeight="1">
      <c r="A43" s="1366" t="s">
        <v>271</v>
      </c>
      <c s="1366" t="s">
        <v>272</v>
      </c>
      <c s="1366" t="s">
        <v>273</v>
      </c>
      <c s="1366"/>
      <c s="2262"/>
      <c s="2262"/>
      <c s="2261">
        <v>1</v>
      </c>
      <c s="1366"/>
      <c s="1366"/>
      <c s="1366"/>
      <c s="1366"/>
      <c s="1367"/>
      <c s="1368"/>
      <c s="1368"/>
      <c s="1368"/>
      <c s="357"/>
      <c s="355"/>
      <c s="356"/>
      <c s="1496" t="str">
        <f>INDEX(PT_DIFFERENTIATION_NUM_CS,MATCH(C43,PT_DIFFERENTIATION_CS_ID,0))</f>
        <v>..</v>
      </c>
      <c s="312" t="s">
        <v>516</v>
      </c>
      <c s="303"/>
      <c s="2245"/>
      <c s="2246"/>
      <c s="2246"/>
      <c s="2246"/>
      <c s="2246"/>
      <c s="2246"/>
      <c s="2247"/>
      <c s="2245" t="str">
        <f>INDEX(PT_DIFFERENTIATION_CS,MATCH(C43,PT_DIFFERENTIATION_CS_ID,0))</f>
        <v/>
      </c>
      <c s="2246"/>
      <c s="2246"/>
      <c s="2246"/>
      <c s="2246"/>
      <c s="2246"/>
      <c s="2246"/>
      <c s="2247"/>
      <c s="1261" t="s">
        <v>517</v>
      </c>
      <c r="AM43" s="503"/>
      <c s="503" t="str">
        <f>IF(T43="","",T43)</f>
        <v>Наименование централизованной системы водоотведения</v>
      </c>
      <c s="503"/>
      <c s="503"/>
      <c s="1158">
        <v>23</v>
      </c>
    </row>
    <row r="44" spans="1:43" ht="24" customHeight="1">
      <c r="A44" s="1366" t="s">
        <v>271</v>
      </c>
      <c s="1366" t="s">
        <v>272</v>
      </c>
      <c s="1366" t="s">
        <v>273</v>
      </c>
      <c s="1366" t="s">
        <v>521</v>
      </c>
      <c s="2262"/>
      <c s="2262"/>
      <c s="2262"/>
      <c s="2262"/>
      <c s="2259" t="str">
        <f>S43&amp;".1"</f>
        <v>...1</v>
      </c>
      <c s="1366"/>
      <c s="1366"/>
      <c s="1367"/>
      <c r="P44" s="2260">
        <v>1</v>
      </c>
      <c s="1484"/>
      <c s="359"/>
      <c s="1496" t="str">
        <f>$I44</f>
        <v>...1</v>
      </c>
      <c s="288" t="s">
        <v>483</v>
      </c>
      <c s="303"/>
      <c s="2353"/>
      <c s="2354"/>
      <c s="2354"/>
      <c s="2354"/>
      <c s="2354"/>
      <c s="2354"/>
      <c s="2355"/>
      <c s="2356"/>
      <c s="2357"/>
      <c s="2357"/>
      <c s="2357"/>
      <c s="2357"/>
      <c s="2357"/>
      <c s="2357"/>
      <c s="2358"/>
      <c s="1261" t="s">
        <v>484</v>
      </c>
      <c r="AM44" s="503"/>
      <c s="503" t="str">
        <f>IF(T44="","",T44)</f>
        <v>Наименование признака дифференциации</v>
      </c>
      <c s="503"/>
      <c s="503"/>
      <c s="1158">
        <v>23</v>
      </c>
    </row>
    <row r="45" spans="1:43" ht="24" customHeight="1">
      <c r="A45" s="1366" t="s">
        <v>271</v>
      </c>
      <c s="1366" t="s">
        <v>272</v>
      </c>
      <c s="1366" t="s">
        <v>273</v>
      </c>
      <c s="1366" t="s">
        <v>521</v>
      </c>
      <c s="2262"/>
      <c s="2262"/>
      <c s="2262"/>
      <c s="2262"/>
      <c s="2289"/>
      <c s="2259" t="str">
        <f>I44&amp;".1"</f>
        <v>...1.1</v>
      </c>
      <c s="1366"/>
      <c s="1367" t="s">
        <v>406</v>
      </c>
      <c r="P45" s="2260"/>
      <c s="2260">
        <v>1</v>
      </c>
      <c s="360"/>
      <c s="1496" t="str">
        <f>$J45</f>
        <v>...1.1</v>
      </c>
      <c s="289" t="s">
        <v>407</v>
      </c>
      <c s="303"/>
      <c s="2248"/>
      <c s="2249"/>
      <c s="2249"/>
      <c s="2249"/>
      <c s="2249"/>
      <c s="2249"/>
      <c s="2250"/>
      <c s="2248"/>
      <c s="2249"/>
      <c s="2249"/>
      <c s="2249"/>
      <c s="2249"/>
      <c s="2249"/>
      <c s="2249"/>
      <c s="2250"/>
      <c s="1310" t="s">
        <v>485</v>
      </c>
      <c r="AM45" s="503"/>
      <c s="503" t="str">
        <f>IF(T45="","",T45)</f>
        <v>Группа потребителей</v>
      </c>
      <c s="503"/>
      <c s="503"/>
      <c s="1158">
        <v>23</v>
      </c>
    </row>
    <row r="46" spans="1:43" ht="24" customHeight="1">
      <c r="A46" s="1366" t="s">
        <v>271</v>
      </c>
      <c s="1366" t="s">
        <v>272</v>
      </c>
      <c s="1366" t="s">
        <v>273</v>
      </c>
      <c s="1366" t="s">
        <v>521</v>
      </c>
      <c s="2262"/>
      <c s="2262"/>
      <c s="2262"/>
      <c s="2262"/>
      <c s="2289"/>
      <c s="2289"/>
      <c s="2259" t="str">
        <f>J45&amp;".1"</f>
        <v>...1.1.1</v>
      </c>
      <c s="1367"/>
      <c r="P46" s="2260"/>
      <c s="2260"/>
      <c s="360">
        <v>1</v>
      </c>
      <c s="1496" t="str">
        <f>$K46</f>
        <v>...1.1.1</v>
      </c>
      <c s="1440"/>
      <c s="303"/>
      <c s="1363"/>
      <c s="1363"/>
      <c s="1364"/>
      <c s="2270"/>
      <c s="2271" t="s">
        <v>65</v>
      </c>
      <c s="2270"/>
      <c s="2271" t="s">
        <v>65</v>
      </c>
      <c s="754"/>
      <c s="754"/>
      <c s="1260"/>
      <c s="2268"/>
      <c s="2110" t="s">
        <v>65</v>
      </c>
      <c s="2290"/>
      <c s="2110" t="s">
        <v>19</v>
      </c>
      <c s="1441"/>
      <c s="235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s="514">
        <f>STRCHECKDATE(V47:AJ47)</f>
      </c>
      <c s="503"/>
      <c s="503" t="str">
        <f>IF(T46="","",T46)</f>
        <v/>
      </c>
      <c s="503"/>
      <c s="503"/>
      <c s="1158">
        <v>23</v>
      </c>
    </row>
    <row r="47" spans="1:43" ht="0" customHeight="1">
      <c r="A47" s="1366" t="s">
        <v>271</v>
      </c>
      <c s="1366" t="s">
        <v>272</v>
      </c>
      <c s="1366" t="s">
        <v>273</v>
      </c>
      <c s="1366" t="s">
        <v>521</v>
      </c>
      <c s="2262"/>
      <c s="2262"/>
      <c s="2262"/>
      <c s="2262"/>
      <c s="2289"/>
      <c s="2289"/>
      <c s="2259"/>
      <c s="1367"/>
      <c r="P47" s="2260"/>
      <c s="2260"/>
      <c s="360"/>
      <c s="1493"/>
      <c s="303"/>
      <c s="303"/>
      <c s="1363"/>
      <c s="1363"/>
      <c s="331" t="str">
        <f>Y46&amp;"-"&amp;AA46</f>
        <v>-</v>
      </c>
      <c s="2271"/>
      <c s="2271"/>
      <c s="2271"/>
      <c s="2271"/>
      <c s="328"/>
      <c s="328"/>
      <c s="331" t="str">
        <f>AF46&amp;"-"&amp;AH46</f>
        <v>-</v>
      </c>
      <c s="2269"/>
      <c s="2110"/>
      <c s="2291"/>
      <c s="2110"/>
      <c s="1442"/>
      <c s="2352"/>
      <c r="AM47" s="503"/>
      <c s="503" t="str">
        <f>IF(T47="","",T47)</f>
        <v/>
      </c>
      <c s="503"/>
      <c s="503"/>
      <c s="1158">
        <v>0</v>
      </c>
    </row>
    <row r="48" spans="1:43" ht="21" customHeight="1">
      <c r="A48" s="1366" t="s">
        <v>271</v>
      </c>
      <c s="1366" t="s">
        <v>272</v>
      </c>
      <c s="1366" t="s">
        <v>273</v>
      </c>
      <c s="1366" t="s">
        <v>521</v>
      </c>
      <c s="2262"/>
      <c s="2262"/>
      <c s="2262"/>
      <c s="2262"/>
      <c s="2289"/>
      <c s="2259"/>
      <c s="1366"/>
      <c s="1367"/>
      <c r="P48" s="2260"/>
      <c s="2260"/>
      <c s="359"/>
      <c s="1281"/>
      <c s="290" t="s">
        <v>486</v>
      </c>
      <c s="370"/>
      <c s="370"/>
      <c s="370"/>
      <c s="370"/>
      <c s="370"/>
      <c s="370"/>
      <c s="370"/>
      <c s="370"/>
      <c s="370"/>
      <c s="370"/>
      <c s="370"/>
      <c s="370"/>
      <c s="370"/>
      <c s="370"/>
      <c s="370"/>
      <c s="370"/>
      <c s="1261" t="s">
        <v>487</v>
      </c>
      <c r="AM48" s="503"/>
      <c s="503" t="str">
        <f>IF(T48="","",T48)</f>
        <v>Добавить значение признака дифференциации</v>
      </c>
      <c s="503"/>
      <c s="503"/>
      <c s="1158">
        <v>20</v>
      </c>
    </row>
    <row r="49" spans="1:43" ht="22.05" customHeight="1">
      <c r="A49" s="1366" t="s">
        <v>271</v>
      </c>
      <c s="1366" t="s">
        <v>272</v>
      </c>
      <c s="1366" t="s">
        <v>273</v>
      </c>
      <c s="1366" t="s">
        <v>521</v>
      </c>
      <c s="2262"/>
      <c s="2262"/>
      <c s="2262"/>
      <c s="2262"/>
      <c s="2259"/>
      <c s="1366"/>
      <c s="1366"/>
      <c s="1367"/>
      <c r="P49" s="2260"/>
      <c s="1484"/>
      <c s="359"/>
      <c s="1281"/>
      <c s="368" t="s">
        <v>412</v>
      </c>
      <c s="370"/>
      <c s="370"/>
      <c s="370"/>
      <c s="370"/>
      <c s="370"/>
      <c s="370"/>
      <c s="370"/>
      <c s="369"/>
      <c s="370"/>
      <c s="370"/>
      <c s="370"/>
      <c s="370"/>
      <c s="370"/>
      <c s="370"/>
      <c s="369"/>
      <c s="370"/>
      <c s="1443"/>
      <c r="AM49" s="503"/>
      <c s="503" t="str">
        <f>IF(T49="","",T49)</f>
        <v>Добавить группу потребителей</v>
      </c>
      <c s="503"/>
      <c s="503"/>
      <c s="1158">
        <v>21</v>
      </c>
    </row>
    <row r="50" spans="1:43" ht="22.05" customHeight="1">
      <c r="A50" s="1366" t="s">
        <v>271</v>
      </c>
      <c s="1366" t="s">
        <v>272</v>
      </c>
      <c s="1366" t="s">
        <v>273</v>
      </c>
      <c s="1366" t="s">
        <v>521</v>
      </c>
      <c s="2262"/>
      <c s="2262"/>
      <c s="2262"/>
      <c s="2261"/>
      <c s="1366"/>
      <c s="1366"/>
      <c s="1366"/>
      <c s="1367"/>
      <c s="1368"/>
      <c s="1368"/>
      <c s="540"/>
      <c s="363"/>
      <c s="378"/>
      <c s="358"/>
      <c s="1281"/>
      <c s="375" t="s">
        <v>488</v>
      </c>
      <c s="370"/>
      <c s="370"/>
      <c s="370"/>
      <c s="370"/>
      <c s="370"/>
      <c s="370"/>
      <c s="370"/>
      <c s="369"/>
      <c s="370"/>
      <c s="370"/>
      <c s="370"/>
      <c s="370"/>
      <c s="370"/>
      <c s="370"/>
      <c s="369"/>
      <c s="370"/>
      <c s="306"/>
      <c r="AM50" s="503"/>
      <c s="503" t="str">
        <f>IF(T50="","",T50)</f>
        <v>Добавить наименование признака дифференциации</v>
      </c>
      <c s="503"/>
      <c s="503"/>
      <c s="1158">
        <v>21</v>
      </c>
    </row>
    <row r="51" spans="1:43" s="1645" customFormat="1" ht="0" customHeight="1">
      <c r="A51" s="1346" t="s">
        <v>271</v>
      </c>
      <c s="1346" t="s">
        <v>272</v>
      </c>
      <c s="1317"/>
      <c s="1317"/>
      <c s="2262"/>
      <c s="2261"/>
      <c s="1317"/>
      <c s="1317"/>
      <c s="1317"/>
      <c s="1317"/>
      <c s="1317"/>
      <c s="1497"/>
      <c s="1324"/>
      <c s="1324"/>
      <c r="P51" s="1319"/>
      <c s="1320"/>
      <c s="1319"/>
      <c s="1325"/>
      <c s="1328" t="s">
        <v>415</v>
      </c>
      <c s="1327"/>
      <c s="1327"/>
      <c s="1327"/>
      <c s="1327"/>
      <c s="1327"/>
      <c s="1327"/>
      <c s="1327"/>
      <c s="1327"/>
      <c s="1327"/>
      <c s="1327"/>
      <c s="1327"/>
      <c s="1327"/>
      <c s="1327"/>
      <c s="1327"/>
      <c s="1327"/>
      <c s="1327"/>
      <c s="1327"/>
      <c r="AM51" s="792"/>
      <c s="792" t="str">
        <f>IF(T51="","",T51)</f>
        <v>Добавить централизованную систему для дифференциации</v>
      </c>
      <c s="792"/>
      <c s="792"/>
      <c s="521">
        <v>0</v>
      </c>
    </row>
    <row r="52" spans="1:43" s="1645" customFormat="1" ht="0" customHeight="1">
      <c r="A52" s="1346" t="s">
        <v>271</v>
      </c>
      <c s="1346"/>
      <c s="1346"/>
      <c s="1346"/>
      <c s="2261"/>
      <c s="1346"/>
      <c s="1346"/>
      <c s="1346"/>
      <c s="1346"/>
      <c s="1346"/>
      <c s="1346"/>
      <c s="1349"/>
      <c s="1324"/>
      <c s="1324"/>
      <c s="521"/>
      <c s="383"/>
      <c s="1347"/>
      <c s="383"/>
      <c s="1325"/>
      <c s="1328" t="s">
        <v>416</v>
      </c>
      <c s="1327"/>
      <c s="1327"/>
      <c s="1327"/>
      <c s="1327"/>
      <c s="1327"/>
      <c s="1327"/>
      <c s="1327"/>
      <c s="1327"/>
      <c s="1327"/>
      <c s="1327"/>
      <c s="1327"/>
      <c s="1327"/>
      <c s="1327"/>
      <c s="1327"/>
      <c s="1327"/>
      <c s="1327"/>
      <c s="1327"/>
      <c r="AM52" s="503"/>
      <c s="503" t="str">
        <f>IF(T52="","",T52)</f>
        <v>Добавить территорию для дифференциации</v>
      </c>
      <c s="503"/>
      <c s="503"/>
      <c s="514">
        <v>0</v>
      </c>
    </row>
    <row r="53" spans="1:43" s="1645" customFormat="1" ht="0" customHeight="1">
      <c r="A53" s="1317"/>
      <c s="1317"/>
      <c s="1317"/>
      <c s="1317"/>
      <c s="1346"/>
      <c s="1317"/>
      <c s="1317"/>
      <c s="1317"/>
      <c s="1317"/>
      <c s="1317"/>
      <c s="1317"/>
      <c s="1497"/>
      <c s="1324"/>
      <c s="1324"/>
      <c r="P53" s="1319"/>
      <c s="1320"/>
      <c s="1319"/>
      <c s="1325"/>
      <c s="1328" t="s">
        <v>448</v>
      </c>
      <c s="1327"/>
      <c s="1327"/>
      <c s="1327"/>
      <c s="1327"/>
      <c s="1327"/>
      <c s="1327"/>
      <c s="1327"/>
      <c s="1327"/>
      <c s="1327"/>
      <c s="1327"/>
      <c s="1327"/>
      <c s="1327"/>
      <c s="1327"/>
      <c s="1327"/>
      <c s="1327"/>
      <c s="1327"/>
      <c s="1327"/>
      <c r="AM53" s="792"/>
      <c s="792" t="str">
        <f>IF(T53="","",T53)</f>
        <v>Добавить наименование тарифа</v>
      </c>
      <c s="792"/>
      <c s="792"/>
      <c s="521">
        <v>0</v>
      </c>
    </row>
    <row r="54" spans="13:43" ht="11.55" customHeight="1">
      <c r="M54" s="1163"/>
      <c s="1163"/>
      <c s="540"/>
      <c s="1158"/>
      <c s="1158"/>
      <c s="1158"/>
      <c s="1158"/>
      <c r="AL54" s="1158"/>
      <c s="1158"/>
      <c s="1158"/>
      <c s="1158"/>
      <c s="1158"/>
      <c s="1158">
        <v>11</v>
      </c>
    </row>
    <row r="55" spans="15:43" ht="14.7" customHeight="1">
      <c r="O55" s="540"/>
      <c r="S55" s="1256"/>
      <c s="2288"/>
      <c s="2288"/>
      <c s="2288"/>
      <c s="2288"/>
      <c s="2288"/>
      <c s="2288"/>
      <c s="2288"/>
      <c s="2288"/>
      <c s="2288"/>
      <c s="2288"/>
      <c s="2288"/>
      <c s="2288"/>
      <c s="2288"/>
      <c s="2288"/>
      <c s="2288"/>
      <c s="2288"/>
      <c s="2288"/>
      <c s="2288"/>
      <c r="AQ55" s="1158">
        <v>14</v>
      </c>
    </row>
    <row r="56" spans="15:43" ht="14.7" customHeight="1">
      <c r="O56" s="540"/>
      <c r="AQ56" s="1158">
        <v>14</v>
      </c>
    </row>
    <row r="57" spans="15:43" ht="14.7" customHeight="1">
      <c r="O57" s="540"/>
      <c r="S57" s="1256"/>
      <c s="2288"/>
      <c s="2288"/>
      <c s="2288"/>
      <c s="2288"/>
      <c s="2288"/>
      <c s="2288"/>
      <c s="2288"/>
      <c s="2288"/>
      <c s="2288"/>
      <c s="2288"/>
      <c s="2288"/>
      <c s="2288"/>
      <c s="2288"/>
      <c s="2288"/>
      <c s="2288"/>
      <c s="2288"/>
      <c s="2288"/>
      <c s="2288"/>
      <c r="AQ57" s="1158">
        <v>14</v>
      </c>
    </row>
    <row r="58" spans="1:43" ht="22.5" customHeight="1" hidden="1">
      <c r="A58" s="1163" t="s">
        <v>81</v>
      </c>
      <c s="1163">
        <v>0</v>
      </c>
      <c s="1163">
        <v>0</v>
      </c>
      <c s="1163">
        <v>0</v>
      </c>
      <c s="1163">
        <v>0</v>
      </c>
      <c s="1163">
        <v>0</v>
      </c>
      <c s="1163">
        <v>0</v>
      </c>
      <c s="1163">
        <v>0</v>
      </c>
      <c s="1163">
        <v>0</v>
      </c>
      <c s="1163">
        <v>0</v>
      </c>
      <c s="1163">
        <v>0</v>
      </c>
      <c s="1481">
        <v>0</v>
      </c>
      <c s="1365">
        <v>0</v>
      </c>
      <c s="1365">
        <v>0</v>
      </c>
      <c s="1365">
        <v>0</v>
      </c>
      <c s="1476">
        <v>3</v>
      </c>
      <c s="347">
        <v>3</v>
      </c>
      <c s="347">
        <v>3</v>
      </c>
      <c s="584">
        <v>12</v>
      </c>
      <c s="1158">
        <v>35</v>
      </c>
      <c s="1158">
        <v>0</v>
      </c>
      <c s="1158">
        <v>0</v>
      </c>
      <c s="1158">
        <v>0</v>
      </c>
      <c s="1158">
        <v>0</v>
      </c>
      <c s="1158">
        <v>0</v>
      </c>
      <c s="1158">
        <v>0</v>
      </c>
      <c s="1158">
        <v>0</v>
      </c>
      <c s="1158">
        <v>0</v>
      </c>
      <c s="1158">
        <v>24</v>
      </c>
      <c s="1158">
        <v>24</v>
      </c>
      <c s="1158">
        <v>24</v>
      </c>
      <c s="1158">
        <v>11</v>
      </c>
      <c s="1158">
        <v>3</v>
      </c>
      <c s="1158">
        <v>11</v>
      </c>
      <c s="1158">
        <v>0</v>
      </c>
      <c s="1158">
        <v>4</v>
      </c>
      <c s="1158">
        <v>115</v>
      </c>
      <c s="514">
        <v>10</v>
      </c>
      <c s="514">
        <v>10</v>
      </c>
      <c s="514">
        <v>10</v>
      </c>
      <c s="514">
        <v>10</v>
      </c>
      <c s="514">
        <v>10</v>
      </c>
      <c s="1158">
        <v>23</v>
      </c>
    </row>
  </sheetData>
  <sheetProtection formatColumns="0" formatRows="0" insertRows="0" deleteColumns="0" deleteRows="0" sort="0" autoFilter="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8 X65579 X131115 X196651 X262187 X327723 X393259 X458795 X524331 X589867 X655403 X720939 X786475 X852011 X917547 X983083 AE16 AE65579 AE131115 AE196651 AE262187 AE327723 AE393259 AE458795 AE524331 AE589867 AE655403 AE720939 AE786475 AE852011 AE917547 AE983083 AE47 AE8 X47"/>
    <dataValidation type="list" allowBlank="1" showInputMessage="1" showErrorMessage="1" errorTitle="Ошибка" error="Выберите значение из списка" sqref="V65576 V983080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C5:AJ5 AK65572:AK65579 AK131108:AK131115 AK196644:AK196651 AK262180:AK262187 AK327716:AK327723 AK393252:AK393259 AK458788:AK458795 AK524324:AK524331 AK589860:AK589867 AK655396:AK655403 AK720932:AK720939 AK786468:AK786475 AK852004:AK852011 AK917540:AK917547 AK983076:AK983083 T46 T7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7 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AA7 Y46 AA46"/>
    <dataValidation allowBlank="1" showInputMessage="1" showErrorMessage="1" prompt="Для выбора выполните двойной щелчок левой клавиши мыши по соответствующей ячейке." sqref="Z7 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AB7 AI393258 AI46 Z46 AB46"/>
    <dataValidation allowBlank="1" sqref="S65580:AK65586 S131116:AK131122 S196652:AK196658 S262188:AK262194 S327724:AK327730 S393260:AK393266 S458796:AK458802 S524332:AK524338 S589868:AK589874 S655404:AK655410 S720940:AK720946 S786476:AK786482 S852012:AK852018 S917548:AK917554 S983084:AK983090"/>
    <dataValidation type="list" allowBlank="1" showInputMessage="1" prompt="Выберите значение из списка" errorTitle="Ошибка" error="Выберите значение из списка" sqref="V65577:AJ65577 V983081:AJ983081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 right="0.7" top="0.75" bottom="0.75" header="0.3" footer="0.3"/>
  <pageSetup orientation="portrait"/>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m="http://schemas.microsoft.com/office/excel/2006/main" xmlns:x14ac="http://schemas.microsoft.com/office/spreadsheetml/2009/9/ac" xmlns:xr="http://schemas.microsoft.com/office/spreadsheetml/2014/revision" xmlns:xr2="http://schemas.microsoft.com/office/spreadsheetml/2015/revision2" xmlns:xr3="http://schemas.microsoft.com/office/spreadsheetml/2016/revision3" xr:uid="{80763692-DE69-39ED-53B8-039C6C5CF108}" mc:Ignorable="x14ac xr xr2 xr3">
  <sheetPr>
    <tabColor theme="6" tint="0.400000005960464"/>
  </sheetPr>
  <dimension ref="A1:BI69"/>
  <sheetViews>
    <sheetView showGridLines="0" zoomScale="90" zoomScaleNormal="90" workbookViewId="0" topLeftCell="A1">
      <pane xSplit="29" ySplit="45" topLeftCell="AD46" activePane="bottomRight" state="frozen"/>
      <selection pane="topLeft" activeCell="A1" sqref="A1"/>
      <selection pane="bottomLeft" activeCell="A46" sqref="A46"/>
      <selection pane="topRight" activeCell="AD1" sqref="AD1"/>
      <selection pane="bottomRight" activeCell="A1" sqref="A1"/>
    </sheetView>
  </sheetViews>
  <sheetFormatPr defaultColWidth="10.5742857142857" defaultRowHeight="14.25" customHeight="1"/>
  <cols>
    <col min="1" max="1" width="11.5714285714286" style="1369" hidden="1" customWidth="1"/>
    <col min="2" max="2" width="11" style="1369" hidden="1" customWidth="1"/>
    <col min="3" max="3" width="10.5714285714286" style="1369" hidden="1"/>
    <col min="4" max="4" width="12.8571428571429" style="1369" hidden="1" customWidth="1"/>
    <col min="5" max="5" width="10" style="1369" hidden="1" customWidth="1"/>
    <col min="6" max="6" width="8.71428571428571" style="1369" hidden="1" customWidth="1"/>
    <col min="7" max="7" width="7.57142857142857" style="1369" hidden="1" customWidth="1"/>
    <col min="8" max="8" width="11.4285714285714" style="1369" hidden="1" customWidth="1"/>
    <col min="9" max="9" width="12" style="1369" hidden="1" customWidth="1"/>
    <col min="10" max="10" width="9.85714285714286" style="1369" hidden="1" customWidth="1"/>
    <col min="11" max="11" width="11.4285714285714" style="1369" hidden="1" customWidth="1"/>
    <col min="12" max="12" width="19.1428571428571" style="2610" hidden="1" customWidth="1"/>
    <col min="13" max="14" width="12.2857142857143" style="1779" hidden="1" customWidth="1"/>
    <col min="15" max="15" width="23.4285714285714" style="1779" hidden="1" customWidth="1"/>
    <col min="16" max="16" width="3.71428571428571" style="1779" hidden="1" customWidth="1"/>
    <col min="17" max="17" width="3.71428571428571" style="1374" hidden="1" customWidth="1"/>
    <col min="18" max="18" width="3" style="347" customWidth="1"/>
    <col min="19" max="19" width="12" style="2410" customWidth="1"/>
    <col min="20" max="20" width="31" style="1638" customWidth="1"/>
    <col min="21" max="21" width="0.142857142857143" style="1638" customWidth="1"/>
    <col min="22" max="25" width="21.7142857142857" style="1638" hidden="1" customWidth="1"/>
    <col min="26" max="26" width="11.7142857142857" style="1638" hidden="1" customWidth="1"/>
    <col min="27" max="27" width="3.71428571428571" style="1638" hidden="1" customWidth="1"/>
    <col min="28" max="28" width="11.7142857142857" style="1638" hidden="1" customWidth="1"/>
    <col min="29" max="29" width="8.57142857142857" style="1638" hidden="1" customWidth="1"/>
    <col min="30" max="30" width="3.71428571428571" style="1638" customWidth="1"/>
    <col min="31" max="32" width="3" style="1638" customWidth="1"/>
    <col min="33" max="33" width="24" style="1638" customWidth="1"/>
    <col min="34" max="34" width="3.71428571428571" style="1638" customWidth="1"/>
    <col min="35" max="36" width="3" style="1638" customWidth="1"/>
    <col min="37" max="37" width="24" style="1638" customWidth="1"/>
    <col min="38" max="38" width="3.71428571428571" style="1638" customWidth="1"/>
    <col min="39" max="40" width="3" style="1638" customWidth="1"/>
    <col min="41" max="41" width="18" style="1638" customWidth="1"/>
    <col min="42" max="42" width="3.71428571428571" style="1638" customWidth="1"/>
    <col min="43" max="44" width="3" style="1638" customWidth="1"/>
    <col min="45" max="45" width="18" style="1638" customWidth="1"/>
    <col min="46" max="49" width="21" style="1638" customWidth="1"/>
    <col min="50" max="50" width="11" style="1638" customWidth="1"/>
    <col min="51" max="51" width="3.71428571428571" style="1638" customWidth="1"/>
    <col min="52" max="52" width="11" style="1638" customWidth="1"/>
    <col min="53" max="53" width="8.57142857142857" style="1638" hidden="1" customWidth="1"/>
    <col min="54" max="54" width="4" style="1638" customWidth="1"/>
    <col min="55" max="55" width="115" style="1638" customWidth="1"/>
    <col min="56" max="60" width="10" style="1645" customWidth="1"/>
    <col min="61" max="61" width="10.5714285714286" style="1638" hidden="1"/>
  </cols>
  <sheetData>
    <row r="1" spans="23:61" ht="22.5" customHeight="1" hidden="1">
      <c r="W1" s="330"/>
      <c r="Y1" s="330"/>
      <c s="330"/>
      <c r="AW1" s="330"/>
      <c s="330"/>
      <c r="BI1" s="1158" t="s">
        <v>14</v>
      </c>
    </row>
    <row r="2" spans="1:61" ht="21" customHeight="1" hidden="1">
      <c r="A2" s="1366"/>
      <c s="1366"/>
      <c s="1366"/>
      <c s="1366"/>
      <c s="2261">
        <v>1</v>
      </c>
      <c s="1366"/>
      <c s="1366"/>
      <c s="1366"/>
      <c s="1366"/>
      <c s="1366"/>
      <c s="1366"/>
      <c s="1367"/>
      <c s="1368"/>
      <c s="1368"/>
      <c s="1368"/>
      <c s="1412"/>
      <c s="876"/>
      <c s="358"/>
      <c s="1496">
        <f>INDEX(PT_DIFFERENTIATION_NUM_NTAR,MATCH(A2,PT_DIFFERENTIATION_NTAR_ID,0))</f>
      </c>
      <c s="301" t="s">
        <v>125</v>
      </c>
      <c s="303"/>
      <c s="2246"/>
      <c s="2246"/>
      <c s="2246"/>
      <c s="2246"/>
      <c s="2246"/>
      <c s="2246"/>
      <c s="2246"/>
      <c s="2247"/>
      <c s="2245">
        <f>INDEX(PT_DIFFERENTIATION_NTAR,MATCH(A2,PT_DIFFERENTIATION_NTAR_ID,0))</f>
      </c>
      <c s="2246"/>
      <c s="2246"/>
      <c s="2246"/>
      <c s="2246"/>
      <c s="2246"/>
      <c s="2246"/>
      <c s="2246"/>
      <c s="2246"/>
      <c s="2246"/>
      <c s="2246"/>
      <c s="2246"/>
      <c s="2246"/>
      <c s="2246"/>
      <c s="2246"/>
      <c s="2246"/>
      <c s="2246"/>
      <c s="2246"/>
      <c s="2246"/>
      <c s="2246"/>
      <c s="2246"/>
      <c s="2246"/>
      <c s="2246"/>
      <c s="2246"/>
      <c s="2247"/>
      <c s="126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503"/>
      <c s="503" t="str">
        <f>IF(T2="","",T2)</f>
        <v>Наименование тарифа</v>
      </c>
      <c s="503"/>
      <c s="503"/>
      <c s="1158">
        <v>0</v>
      </c>
    </row>
    <row r="3" spans="1:61" ht="21" customHeight="1" hidden="1">
      <c r="A3" s="1366"/>
      <c s="1366"/>
      <c s="1366"/>
      <c s="1366"/>
      <c s="2262"/>
      <c s="2261">
        <v>1</v>
      </c>
      <c s="1366"/>
      <c s="1366"/>
      <c s="1366"/>
      <c s="1366"/>
      <c s="1366"/>
      <c s="1367"/>
      <c s="1368"/>
      <c s="1368"/>
      <c s="1368"/>
      <c s="1413"/>
      <c s="1414"/>
      <c s="356"/>
      <c s="1496">
        <f>INDEX(PT_DIFFERENTIATION_NUM_TER,MATCH(B3,PT_DIFFERENTIATION_TER_ID,0))</f>
      </c>
      <c s="311" t="s">
        <v>397</v>
      </c>
      <c s="303"/>
      <c s="2246"/>
      <c s="2246"/>
      <c s="2246"/>
      <c s="2246"/>
      <c s="2246"/>
      <c s="2246"/>
      <c s="2246"/>
      <c s="2247"/>
      <c s="2245">
        <f>INDEX(PT_DIFFERENTIATION_TER,MATCH(B3,PT_DIFFERENTIATION_TER_ID,0))</f>
      </c>
      <c s="2246"/>
      <c s="2246"/>
      <c s="2246"/>
      <c s="2246"/>
      <c s="2246"/>
      <c s="2246"/>
      <c s="2246"/>
      <c s="2246"/>
      <c s="2246"/>
      <c s="2246"/>
      <c s="2246"/>
      <c s="2246"/>
      <c s="2246"/>
      <c s="2246"/>
      <c s="2246"/>
      <c s="2246"/>
      <c s="2246"/>
      <c s="2246"/>
      <c s="2246"/>
      <c s="2246"/>
      <c s="2246"/>
      <c s="2246"/>
      <c s="2246"/>
      <c s="2247"/>
      <c s="1261" t="s">
        <v>398</v>
      </c>
      <c r="BE3" s="503"/>
      <c s="503" t="str">
        <f>IF(T3="","",T3)</f>
        <v>Территория действия тарифа</v>
      </c>
      <c s="503"/>
      <c s="503"/>
      <c s="1158">
        <v>0</v>
      </c>
    </row>
    <row r="4" spans="1:61" ht="33.75" customHeight="1" hidden="1">
      <c r="A4" s="1366"/>
      <c s="1366"/>
      <c s="1366"/>
      <c s="1366"/>
      <c s="2262"/>
      <c s="2262"/>
      <c s="2261">
        <v>1</v>
      </c>
      <c s="1366"/>
      <c s="1366"/>
      <c s="1366"/>
      <c s="1366"/>
      <c s="1367"/>
      <c s="1368"/>
      <c s="1368"/>
      <c s="1368"/>
      <c s="1415"/>
      <c s="1414"/>
      <c s="356"/>
      <c s="1496">
        <f>INDEX(PT_DIFFERENTIATION_NUM_CS,MATCH(C4,PT_DIFFERENTIATION_CS_ID,0))</f>
      </c>
      <c s="312" t="s">
        <v>516</v>
      </c>
      <c s="303"/>
      <c s="2246"/>
      <c s="2246"/>
      <c s="2246"/>
      <c s="2246"/>
      <c s="2246"/>
      <c s="2246"/>
      <c s="2246"/>
      <c s="2247"/>
      <c s="2245">
        <f>INDEX(PT_DIFFERENTIATION_CS,MATCH(C4,PT_DIFFERENTIATION_CS_ID,0))</f>
      </c>
      <c s="2246"/>
      <c s="2246"/>
      <c s="2246"/>
      <c s="2246"/>
      <c s="2246"/>
      <c s="2246"/>
      <c s="2246"/>
      <c s="2246"/>
      <c s="2246"/>
      <c s="2246"/>
      <c s="2246"/>
      <c s="2246"/>
      <c s="2246"/>
      <c s="2246"/>
      <c s="2246"/>
      <c s="2246"/>
      <c s="2246"/>
      <c s="2246"/>
      <c s="2246"/>
      <c s="2246"/>
      <c s="2246"/>
      <c s="2246"/>
      <c s="2246"/>
      <c s="2247"/>
      <c s="1261" t="s">
        <v>517</v>
      </c>
      <c r="BE4" s="503"/>
      <c s="503" t="str">
        <f>IF(T4="","",T4)</f>
        <v>Наименование централизованной системы водоотведения</v>
      </c>
      <c s="503"/>
      <c s="503"/>
      <c s="1158">
        <v>0</v>
      </c>
    </row>
    <row r="5" spans="1:61" s="1645" customFormat="1" ht="14.25" customHeight="1" hidden="1">
      <c r="A5" s="1346"/>
      <c s="1346"/>
      <c s="1346"/>
      <c s="1346"/>
      <c s="2262"/>
      <c s="2262"/>
      <c s="2262"/>
      <c s="2261">
        <v>1</v>
      </c>
      <c s="1346"/>
      <c s="1346"/>
      <c s="1346"/>
      <c s="1349"/>
      <c s="1318"/>
      <c s="1318"/>
      <c s="1318"/>
      <c s="1500"/>
      <c s="1501"/>
      <c s="360"/>
      <c s="1045"/>
      <c s="1502"/>
      <c s="1387"/>
      <c s="2300"/>
      <c s="2300"/>
      <c s="2300"/>
      <c s="2300"/>
      <c s="2300"/>
      <c s="2300"/>
      <c s="2300"/>
      <c s="2301"/>
      <c s="2299"/>
      <c s="2300"/>
      <c s="2300"/>
      <c s="2300"/>
      <c s="2300"/>
      <c s="2300"/>
      <c s="2300"/>
      <c s="2300"/>
      <c s="2300"/>
      <c s="2300"/>
      <c s="2300"/>
      <c s="2300"/>
      <c s="2300"/>
      <c s="2300"/>
      <c s="2300"/>
      <c s="2300"/>
      <c s="2300"/>
      <c s="2300"/>
      <c s="2300"/>
      <c s="2300"/>
      <c s="2300"/>
      <c s="2300"/>
      <c s="2300"/>
      <c s="2300"/>
      <c s="2301"/>
      <c s="1388" t="s">
        <v>402</v>
      </c>
      <c r="BE5" s="503"/>
      <c s="503" t="str">
        <f>IF(T5="","",T5)</f>
        <v/>
      </c>
      <c s="503"/>
      <c s="503"/>
      <c s="514">
        <v>0</v>
      </c>
    </row>
    <row r="6" spans="1:61" s="1645" customFormat="1" ht="14.25" customHeight="1" hidden="1">
      <c r="A6" s="1346"/>
      <c s="1346"/>
      <c s="1346"/>
      <c s="1346"/>
      <c s="2262"/>
      <c s="2262"/>
      <c s="2262"/>
      <c s="2262"/>
      <c s="2259" t="str">
        <f>S5&amp;".1"</f>
        <v>.1</v>
      </c>
      <c s="1346"/>
      <c s="1346"/>
      <c s="1349" t="s">
        <v>403</v>
      </c>
      <c s="513"/>
      <c s="513"/>
      <c s="513"/>
      <c s="2260">
        <v>1</v>
      </c>
      <c s="1484"/>
      <c s="359"/>
      <c s="1045"/>
      <c s="1386"/>
      <c s="1387"/>
      <c s="2300"/>
      <c s="2300"/>
      <c s="2300"/>
      <c s="2300"/>
      <c s="2300"/>
      <c s="2300"/>
      <c s="2300"/>
      <c s="2301"/>
      <c s="2299"/>
      <c s="2300"/>
      <c s="2300"/>
      <c s="2300"/>
      <c s="2300"/>
      <c s="2300"/>
      <c s="2300"/>
      <c s="2300"/>
      <c s="2300"/>
      <c s="2300"/>
      <c s="2300"/>
      <c s="2300"/>
      <c s="2300"/>
      <c s="2300"/>
      <c s="2300"/>
      <c s="2300"/>
      <c s="2300"/>
      <c s="2300"/>
      <c s="2300"/>
      <c s="2300"/>
      <c s="2300"/>
      <c s="2300"/>
      <c s="2300"/>
      <c s="2300"/>
      <c s="2301"/>
      <c s="1388"/>
      <c r="BE6" s="503"/>
      <c s="503" t="str">
        <f>IF(T6="","",T6)</f>
        <v/>
      </c>
      <c s="503"/>
      <c s="503"/>
      <c s="514">
        <v>0</v>
      </c>
    </row>
    <row r="7" spans="1:61" s="1645" customFormat="1" ht="14.25" customHeight="1" hidden="1">
      <c r="A7" s="1346"/>
      <c s="1346"/>
      <c s="1346"/>
      <c s="1346"/>
      <c s="2262"/>
      <c s="2262"/>
      <c s="2262"/>
      <c s="2262"/>
      <c s="2289"/>
      <c s="2259" t="str">
        <f>S5&amp;".1"</f>
        <v>.1</v>
      </c>
      <c s="1346"/>
      <c s="1349"/>
      <c s="513"/>
      <c s="513"/>
      <c s="513"/>
      <c s="2260"/>
      <c s="2260">
        <v>1</v>
      </c>
      <c s="360"/>
      <c s="1045"/>
      <c s="1402"/>
      <c s="1387"/>
      <c s="2300"/>
      <c s="2300"/>
      <c s="2300"/>
      <c s="2300"/>
      <c s="2300"/>
      <c s="2300"/>
      <c s="2300"/>
      <c s="2301"/>
      <c s="2299"/>
      <c s="2300"/>
      <c s="2300"/>
      <c s="2300"/>
      <c s="2300"/>
      <c s="2300"/>
      <c s="2300"/>
      <c s="2300"/>
      <c s="2300"/>
      <c s="2300"/>
      <c s="2300"/>
      <c s="2300"/>
      <c s="2300"/>
      <c s="2300"/>
      <c s="2300"/>
      <c s="2300"/>
      <c s="2300"/>
      <c s="2300"/>
      <c s="2300"/>
      <c s="2300"/>
      <c s="2300"/>
      <c s="2300"/>
      <c s="2300"/>
      <c s="2300"/>
      <c s="2301"/>
      <c s="1388"/>
      <c r="BE7" s="503"/>
      <c s="503" t="str">
        <f>IF(T7="","",T7)</f>
        <v/>
      </c>
      <c s="503"/>
      <c s="503"/>
      <c s="514">
        <v>0</v>
      </c>
    </row>
    <row r="8" spans="1:61" ht="11.25" customHeight="1" hidden="1">
      <c r="A8" s="1366"/>
      <c s="1366"/>
      <c s="1366"/>
      <c s="1366"/>
      <c s="2262"/>
      <c s="2262"/>
      <c s="2262"/>
      <c s="2262"/>
      <c s="2289"/>
      <c s="2289"/>
      <c s="2259">
        <f>S4&amp;".1"</f>
      </c>
      <c s="1367"/>
      <c r="P8" s="2260"/>
      <c s="2260"/>
      <c s="2350">
        <v>1</v>
      </c>
      <c s="2344">
        <f>$K8</f>
      </c>
      <c s="2363"/>
      <c s="303"/>
      <c s="754"/>
      <c s="1260"/>
      <c s="754"/>
      <c s="1260"/>
      <c s="1737"/>
      <c s="1472" t="s">
        <v>65</v>
      </c>
      <c s="1737"/>
      <c s="1472" t="s">
        <v>65</v>
      </c>
      <c s="2188" t="s">
        <v>65</v>
      </c>
      <c s="2329"/>
      <c s="2208">
        <v>1</v>
      </c>
      <c s="2366"/>
      <c s="2110" t="s">
        <v>65</v>
      </c>
      <c s="2329"/>
      <c s="2208">
        <v>1</v>
      </c>
      <c s="2330" t="s">
        <v>22</v>
      </c>
      <c s="2110" t="s">
        <v>65</v>
      </c>
      <c s="2195"/>
      <c s="2208">
        <v>1</v>
      </c>
      <c s="2360"/>
      <c s="2361" t="s">
        <v>65</v>
      </c>
      <c s="314"/>
      <c s="1489">
        <v>1</v>
      </c>
      <c s="1495" t="s">
        <v>22</v>
      </c>
      <c s="754"/>
      <c s="1260"/>
      <c s="754"/>
      <c s="1260"/>
      <c s="1737"/>
      <c s="1472" t="s">
        <v>65</v>
      </c>
      <c s="1737"/>
      <c s="1472" t="s">
        <v>65</v>
      </c>
      <c s="1351"/>
      <c s="2256" t="s">
        <v>501</v>
      </c>
      <c r="BE8" s="503"/>
      <c s="503" t="str">
        <f>IF(T8="","",T8)</f>
        <v/>
      </c>
      <c s="503"/>
      <c s="503"/>
      <c s="1158">
        <v>0</v>
      </c>
    </row>
    <row r="9" spans="1:61" ht="11.25" customHeight="1" hidden="1">
      <c r="A9" s="1366"/>
      <c s="1366"/>
      <c s="1366"/>
      <c s="1366"/>
      <c s="2262"/>
      <c s="2262"/>
      <c s="2262"/>
      <c s="2262"/>
      <c s="2289"/>
      <c s="2289"/>
      <c s="2259"/>
      <c s="1367"/>
      <c r="P9" s="2260"/>
      <c s="2260"/>
      <c s="2350"/>
      <c s="2345"/>
      <c s="2364"/>
      <c s="303"/>
      <c s="1396"/>
      <c s="1499"/>
      <c s="1396"/>
      <c s="1499"/>
      <c s="1396"/>
      <c s="1396"/>
      <c s="1396"/>
      <c s="1396"/>
      <c s="2189"/>
      <c s="2329"/>
      <c s="2208"/>
      <c s="2366"/>
      <c s="2110"/>
      <c s="2329"/>
      <c s="2208"/>
      <c s="2330"/>
      <c s="2110"/>
      <c s="2203"/>
      <c s="2208"/>
      <c s="2360"/>
      <c s="2362"/>
      <c s="319"/>
      <c s="419"/>
      <c s="419" t="s">
        <v>502</v>
      </c>
      <c s="1396"/>
      <c s="1499"/>
      <c s="1396"/>
      <c s="1499"/>
      <c s="1396"/>
      <c s="1396"/>
      <c s="1396"/>
      <c s="1396"/>
      <c s="1400"/>
      <c s="2257"/>
      <c r="BE9" s="503"/>
      <c s="503"/>
      <c s="503"/>
      <c s="503"/>
      <c s="1158">
        <v>0</v>
      </c>
    </row>
    <row r="10" spans="1:61" ht="11.25" customHeight="1" hidden="1">
      <c r="A10" s="1366"/>
      <c s="1366"/>
      <c s="1366"/>
      <c s="1366"/>
      <c s="2262"/>
      <c s="2262"/>
      <c s="2262"/>
      <c s="2262"/>
      <c s="2289"/>
      <c s="2289"/>
      <c s="2259"/>
      <c s="1367"/>
      <c r="P10" s="2260"/>
      <c s="2260"/>
      <c s="2350"/>
      <c s="2345"/>
      <c s="2364"/>
      <c s="303"/>
      <c s="1396"/>
      <c s="1499"/>
      <c s="1396"/>
      <c s="1499"/>
      <c s="1396"/>
      <c s="1396"/>
      <c s="1396"/>
      <c s="1396"/>
      <c s="2189"/>
      <c s="2329"/>
      <c s="2208"/>
      <c s="2366"/>
      <c s="2110"/>
      <c s="2329"/>
      <c s="2208"/>
      <c s="2330"/>
      <c s="2110"/>
      <c s="319"/>
      <c s="1503"/>
      <c s="1503" t="s">
        <v>522</v>
      </c>
      <c s="419"/>
      <c s="419"/>
      <c s="419"/>
      <c s="1396"/>
      <c s="1396"/>
      <c s="1499"/>
      <c s="1396"/>
      <c s="1499"/>
      <c s="1396"/>
      <c s="1396"/>
      <c s="1396"/>
      <c s="1396"/>
      <c s="1400"/>
      <c s="2257"/>
      <c r="BE10" s="503"/>
      <c s="503"/>
      <c s="503"/>
      <c s="503"/>
      <c s="1158">
        <v>0</v>
      </c>
    </row>
    <row r="11" spans="1:61" ht="11.25" customHeight="1" hidden="1">
      <c r="A11" s="1366"/>
      <c s="1366"/>
      <c s="1366"/>
      <c s="1366"/>
      <c s="2262"/>
      <c s="2262"/>
      <c s="2262"/>
      <c s="2262"/>
      <c s="2289"/>
      <c s="2289"/>
      <c s="2259"/>
      <c s="1367"/>
      <c r="P11" s="2260"/>
      <c s="2260"/>
      <c s="2350"/>
      <c s="2345"/>
      <c s="2364"/>
      <c s="303"/>
      <c s="1396"/>
      <c s="1499"/>
      <c s="1396"/>
      <c s="1499"/>
      <c s="1396"/>
      <c s="1396"/>
      <c s="1396"/>
      <c s="1396"/>
      <c s="2189"/>
      <c s="2329"/>
      <c s="2208"/>
      <c s="2366"/>
      <c s="2110"/>
      <c s="297"/>
      <c s="418"/>
      <c s="316" t="s">
        <v>523</v>
      </c>
      <c s="1396"/>
      <c s="1396"/>
      <c s="1396"/>
      <c s="1396"/>
      <c s="1396"/>
      <c s="1396"/>
      <c s="1396"/>
      <c s="1396"/>
      <c s="1396"/>
      <c s="1499"/>
      <c s="1396"/>
      <c s="1499"/>
      <c s="1396"/>
      <c s="1396"/>
      <c s="1396"/>
      <c s="1396"/>
      <c s="1400"/>
      <c s="2257"/>
      <c r="BE11" s="503"/>
      <c s="503"/>
      <c s="503"/>
      <c s="503"/>
      <c s="1158">
        <v>0</v>
      </c>
    </row>
    <row r="12" spans="1:61" ht="11.25" customHeight="1" hidden="1">
      <c r="A12" s="1366"/>
      <c s="1366"/>
      <c s="1366"/>
      <c s="1366"/>
      <c s="2262"/>
      <c s="2262"/>
      <c s="2262"/>
      <c s="2262"/>
      <c s="2289"/>
      <c s="2289"/>
      <c s="2259"/>
      <c s="1367"/>
      <c r="P12" s="2260"/>
      <c s="2260"/>
      <c s="2350"/>
      <c s="2346"/>
      <c s="2365"/>
      <c s="303"/>
      <c s="1396"/>
      <c s="1397" t="str">
        <f>Z8&amp;"-"&amp;AB8</f>
        <v>-</v>
      </c>
      <c s="1396"/>
      <c s="1397" t="str">
        <f>AB8&amp;"-"&amp;AD8</f>
        <v>-да</v>
      </c>
      <c s="1396"/>
      <c s="1396"/>
      <c s="1396"/>
      <c s="1396"/>
      <c s="2115"/>
      <c s="315"/>
      <c s="317"/>
      <c s="419" t="s">
        <v>505</v>
      </c>
      <c s="1396"/>
      <c s="1396"/>
      <c s="1396"/>
      <c s="1396"/>
      <c s="1396"/>
      <c s="1396"/>
      <c s="1396"/>
      <c s="1396"/>
      <c s="1396"/>
      <c s="1396"/>
      <c s="1396"/>
      <c s="1396"/>
      <c s="1396"/>
      <c s="1397" t="str">
        <f>AX8&amp;"-"&amp;AZ8</f>
        <v>-</v>
      </c>
      <c s="1396"/>
      <c s="1397" t="str">
        <f>AZ8&amp;"-"&amp;BB8</f>
        <v>-</v>
      </c>
      <c s="1396"/>
      <c s="1396"/>
      <c s="1396"/>
      <c s="1396"/>
      <c s="1399" t="str">
        <f>BE8&amp;"-"&amp;BG8</f>
        <v>-</v>
      </c>
      <c s="2257"/>
      <c r="BE12" s="503"/>
      <c s="503" t="str">
        <f>IF(T12="","",T12)</f>
        <v/>
      </c>
      <c s="503"/>
      <c s="503"/>
      <c s="1158">
        <v>0</v>
      </c>
    </row>
    <row r="13" spans="1:61" ht="11.25" customHeight="1" hidden="1">
      <c r="A13" s="1366"/>
      <c s="1366"/>
      <c s="1366"/>
      <c s="1366"/>
      <c s="2262"/>
      <c s="2262"/>
      <c s="2262"/>
      <c s="2262"/>
      <c s="2289"/>
      <c s="2259"/>
      <c s="1366"/>
      <c s="1367"/>
      <c r="P13" s="2260"/>
      <c s="2260"/>
      <c s="359"/>
      <c s="1281"/>
      <c s="290" t="s">
        <v>468</v>
      </c>
      <c s="370"/>
      <c s="370"/>
      <c s="370"/>
      <c s="370"/>
      <c s="370"/>
      <c s="370"/>
      <c s="370"/>
      <c s="370"/>
      <c s="370"/>
      <c s="1508"/>
      <c s="370"/>
      <c s="370"/>
      <c s="370"/>
      <c s="370"/>
      <c s="370"/>
      <c s="370"/>
      <c s="370"/>
      <c s="370"/>
      <c s="370"/>
      <c s="370"/>
      <c s="370"/>
      <c s="370"/>
      <c s="370"/>
      <c s="370"/>
      <c s="370"/>
      <c s="370"/>
      <c s="370"/>
      <c s="370"/>
      <c s="370"/>
      <c s="370"/>
      <c s="370"/>
      <c s="370"/>
      <c s="370"/>
      <c s="327"/>
      <c s="2258"/>
      <c r="BE13" s="503"/>
      <c s="503" t="str">
        <f>IF(T13="","",T13)</f>
        <v>Добавить строку</v>
      </c>
      <c s="503"/>
      <c s="503"/>
      <c s="1158">
        <v>0</v>
      </c>
    </row>
    <row r="14" spans="1:61" s="1645" customFormat="1" ht="14.25" customHeight="1" hidden="1">
      <c r="A14" s="1346"/>
      <c s="1346"/>
      <c s="1346"/>
      <c s="1346"/>
      <c s="2262"/>
      <c s="2262"/>
      <c s="2262"/>
      <c s="2262"/>
      <c s="2259"/>
      <c s="1346"/>
      <c s="1346"/>
      <c s="1349"/>
      <c s="513"/>
      <c s="513"/>
      <c s="513"/>
      <c s="2260"/>
      <c s="1484"/>
      <c s="359"/>
      <c s="1389"/>
      <c s="1390"/>
      <c s="1391"/>
      <c s="1391"/>
      <c s="1391"/>
      <c s="1391"/>
      <c s="1391"/>
      <c s="1391"/>
      <c s="1391"/>
      <c s="1391"/>
      <c s="1391"/>
      <c s="1391"/>
      <c s="1391"/>
      <c s="1391"/>
      <c s="1391"/>
      <c s="1391"/>
      <c s="1391"/>
      <c s="1391"/>
      <c s="1391"/>
      <c s="1391"/>
      <c s="1391"/>
      <c s="1391"/>
      <c s="1391"/>
      <c s="1391"/>
      <c s="1391"/>
      <c s="1391"/>
      <c s="1391"/>
      <c s="1391"/>
      <c s="1391"/>
      <c s="1391"/>
      <c s="1391"/>
      <c s="1391"/>
      <c s="1391"/>
      <c s="1391"/>
      <c s="1391"/>
      <c s="1391"/>
      <c s="1392"/>
      <c r="BE14" s="503"/>
      <c s="503" t="str">
        <f>IF(T14="","",T14)</f>
        <v/>
      </c>
      <c s="503"/>
      <c s="503"/>
      <c s="514">
        <v>0</v>
      </c>
    </row>
    <row r="15" spans="1:61" s="1645" customFormat="1" ht="14.25" customHeight="1" hidden="1">
      <c r="A15" s="1346"/>
      <c s="1346"/>
      <c s="1346"/>
      <c s="1346"/>
      <c s="2262"/>
      <c s="2262"/>
      <c s="2262"/>
      <c s="2261"/>
      <c s="1346"/>
      <c s="1346"/>
      <c s="1346"/>
      <c s="1349"/>
      <c s="1318"/>
      <c s="1318"/>
      <c s="521"/>
      <c s="383"/>
      <c s="1347"/>
      <c s="1404"/>
      <c s="1389"/>
      <c s="1390"/>
      <c s="1391"/>
      <c s="1391"/>
      <c s="1391"/>
      <c s="1391"/>
      <c s="1391"/>
      <c s="1391"/>
      <c s="1391"/>
      <c s="1391"/>
      <c s="1391"/>
      <c s="1391"/>
      <c s="1391"/>
      <c s="1391"/>
      <c s="1391"/>
      <c s="1391"/>
      <c s="1391"/>
      <c s="1391"/>
      <c s="1391"/>
      <c s="1391"/>
      <c s="1391"/>
      <c s="1391"/>
      <c s="1391"/>
      <c s="1391"/>
      <c s="1391"/>
      <c s="1391"/>
      <c s="1391"/>
      <c s="1391"/>
      <c s="1391"/>
      <c s="1391"/>
      <c s="1391"/>
      <c s="1391"/>
      <c s="1391"/>
      <c s="1391"/>
      <c s="1391"/>
      <c s="1391"/>
      <c s="1392"/>
      <c r="BE15" s="503"/>
      <c s="503" t="str">
        <f>IF(T15="","",T15)</f>
        <v/>
      </c>
      <c s="503"/>
      <c s="503"/>
      <c s="514">
        <v>0</v>
      </c>
    </row>
    <row r="16" spans="1:61" s="1645" customFormat="1" ht="14.25" customHeight="1" hidden="1">
      <c r="A16" s="1346"/>
      <c s="1346"/>
      <c s="1346"/>
      <c s="1317"/>
      <c s="2262"/>
      <c s="2262"/>
      <c s="2261"/>
      <c s="1317"/>
      <c s="1317"/>
      <c s="1317"/>
      <c s="1317"/>
      <c s="1497"/>
      <c s="1318"/>
      <c s="1318"/>
      <c r="P16" s="1319"/>
      <c s="1320"/>
      <c s="1319"/>
      <c s="1325"/>
      <c s="1328"/>
      <c s="1327"/>
      <c s="1327"/>
      <c s="1327"/>
      <c s="1327"/>
      <c s="1327"/>
      <c s="1327"/>
      <c s="1327"/>
      <c s="1327"/>
      <c s="1327"/>
      <c s="1327"/>
      <c s="1327"/>
      <c s="1327"/>
      <c s="1327"/>
      <c s="1327"/>
      <c s="1327"/>
      <c s="1327"/>
      <c s="1327"/>
      <c s="1327"/>
      <c s="1327"/>
      <c s="1327"/>
      <c s="1327"/>
      <c s="1327"/>
      <c s="1327"/>
      <c s="1327"/>
      <c s="1327"/>
      <c s="1327"/>
      <c s="1327"/>
      <c s="1327"/>
      <c s="1327"/>
      <c s="1327"/>
      <c s="1327"/>
      <c s="1327"/>
      <c s="1327"/>
      <c s="1327"/>
      <c s="1327"/>
      <c r="BE16" s="792"/>
      <c s="792" t="str">
        <f>IF(T16="","",T16)</f>
        <v/>
      </c>
      <c s="792"/>
      <c s="792"/>
      <c s="521">
        <v>0</v>
      </c>
    </row>
    <row r="17" spans="1:61" s="1645" customFormat="1" ht="14.25" customHeight="1" hidden="1">
      <c r="A17" s="1346"/>
      <c s="1346"/>
      <c s="1317"/>
      <c s="1317"/>
      <c s="2262"/>
      <c s="2261"/>
      <c s="1317"/>
      <c s="1317"/>
      <c s="1317"/>
      <c s="1317"/>
      <c s="1317"/>
      <c s="1497"/>
      <c s="1324"/>
      <c s="1324"/>
      <c r="P17" s="1319"/>
      <c s="1320"/>
      <c s="1319"/>
      <c s="1325"/>
      <c s="1328" t="s">
        <v>415</v>
      </c>
      <c s="1327"/>
      <c s="1327"/>
      <c s="1327"/>
      <c s="1327"/>
      <c s="1327"/>
      <c s="1327"/>
      <c s="1327"/>
      <c s="1327"/>
      <c s="1327"/>
      <c s="1327"/>
      <c s="1327"/>
      <c s="1327"/>
      <c s="1327"/>
      <c s="1327"/>
      <c s="1327"/>
      <c s="1327"/>
      <c s="1327"/>
      <c s="1327"/>
      <c s="1327"/>
      <c s="1327"/>
      <c s="1327"/>
      <c s="1327"/>
      <c s="1327"/>
      <c s="1327"/>
      <c s="1327"/>
      <c s="1327"/>
      <c s="1327"/>
      <c s="1327"/>
      <c s="1327"/>
      <c s="1327"/>
      <c s="1327"/>
      <c s="1327"/>
      <c s="1327"/>
      <c s="1327"/>
      <c s="1327"/>
      <c r="BE17" s="792"/>
      <c s="792" t="str">
        <f>IF(T17="","",T17)</f>
        <v>Добавить централизованную систему для дифференциации</v>
      </c>
      <c s="792"/>
      <c s="792"/>
      <c s="521">
        <v>0</v>
      </c>
    </row>
    <row r="18" spans="1:61" s="1645" customFormat="1" ht="14.25" customHeight="1" hidden="1">
      <c r="A18" s="1346"/>
      <c s="1346"/>
      <c s="1346"/>
      <c s="1346"/>
      <c s="2261"/>
      <c s="1346"/>
      <c s="1346"/>
      <c s="1346"/>
      <c s="1346"/>
      <c s="1346"/>
      <c s="1346"/>
      <c s="1349"/>
      <c s="1324"/>
      <c s="1324"/>
      <c s="521"/>
      <c s="383"/>
      <c s="1347"/>
      <c s="383"/>
      <c s="1325"/>
      <c s="1328" t="s">
        <v>416</v>
      </c>
      <c s="1327"/>
      <c s="1327"/>
      <c s="1327"/>
      <c s="1327"/>
      <c s="1327"/>
      <c s="1327"/>
      <c s="1327"/>
      <c s="1327"/>
      <c s="1327"/>
      <c s="1327"/>
      <c s="1327"/>
      <c s="1327"/>
      <c s="1327"/>
      <c s="1327"/>
      <c s="1327"/>
      <c s="1327"/>
      <c s="1327"/>
      <c s="1327"/>
      <c s="1327"/>
      <c s="1327"/>
      <c s="1327"/>
      <c s="1327"/>
      <c s="1327"/>
      <c s="1327"/>
      <c s="1327"/>
      <c s="1327"/>
      <c s="1327"/>
      <c s="1327"/>
      <c s="1327"/>
      <c s="1327"/>
      <c s="1327"/>
      <c s="1327"/>
      <c s="1327"/>
      <c s="1327"/>
      <c s="1327"/>
      <c r="BE18" s="503"/>
      <c s="503" t="str">
        <f>IF(T18="","",T18)</f>
        <v>Добавить территорию для дифференциации</v>
      </c>
      <c s="503"/>
      <c s="503"/>
      <c s="514">
        <v>0</v>
      </c>
    </row>
    <row r="19" spans="29:61" ht="14.25" customHeight="1" hidden="1">
      <c r="AC19" s="330"/>
      <c r="BA19" s="330"/>
      <c r="BI19" s="1158">
        <v>0</v>
      </c>
    </row>
    <row r="20" spans="30:61" ht="14.25" customHeight="1" hidden="1">
      <c r="AD20" s="1327" t="s">
        <v>19</v>
      </c>
      <c s="1504"/>
      <c s="551">
        <v>1</v>
      </c>
      <c s="1505"/>
      <c s="1327" t="s">
        <v>19</v>
      </c>
      <c s="1504"/>
      <c s="551">
        <v>1</v>
      </c>
      <c s="1505"/>
      <c s="1327" t="s">
        <v>19</v>
      </c>
      <c s="1506"/>
      <c s="551">
        <v>1</v>
      </c>
      <c s="1507"/>
      <c s="1327" t="s">
        <v>19</v>
      </c>
      <c s="1506"/>
      <c s="551">
        <v>1</v>
      </c>
      <c s="1507"/>
      <c s="328"/>
      <c s="387"/>
      <c s="328"/>
      <c s="387"/>
      <c s="1739"/>
      <c s="1488" t="s">
        <v>65</v>
      </c>
      <c s="1739"/>
      <c s="1488" t="s">
        <v>65</v>
      </c>
      <c r="BI20" s="1158">
        <v>0</v>
      </c>
    </row>
    <row r="21" spans="56:61" ht="14.25" customHeight="1" hidden="1">
      <c r="BD21" s="499"/>
      <c s="499"/>
      <c s="499"/>
      <c s="499"/>
      <c s="499"/>
      <c s="1158">
        <v>0</v>
      </c>
    </row>
    <row r="22" spans="15:29 50:61" ht="14.25" customHeight="1" hidden="1">
      <c r="O22" s="1370" t="s">
        <v>417</v>
      </c>
      <c r="Z22" s="1348"/>
      <c r="AB22" s="1348"/>
      <c s="330"/>
      <c r="AX22" s="1348"/>
      <c r="AZ22" s="1348"/>
      <c s="330"/>
      <c r="BD22" s="499"/>
      <c s="499"/>
      <c s="499"/>
      <c s="499"/>
      <c s="499"/>
      <c s="1158">
        <v>0</v>
      </c>
    </row>
    <row r="23" spans="29:61" ht="14.25" customHeight="1" hidden="1">
      <c r="AC23" s="330"/>
      <c r="BA23" s="330"/>
      <c r="BD23" s="499"/>
      <c s="499"/>
      <c s="499"/>
      <c s="499"/>
      <c s="499"/>
      <c s="1158">
        <v>0</v>
      </c>
    </row>
    <row r="24" spans="13:61" s="1512" customFormat="1" ht="14.25" customHeight="1" hidden="1">
      <c r="M24" s="1511"/>
      <c s="1511"/>
      <c s="1512" t="s">
        <v>418</v>
      </c>
      <c s="1511"/>
      <c s="1513"/>
      <c s="1513"/>
      <c r="AA24" s="1510" t="s">
        <v>420</v>
      </c>
      <c r="AC24" s="1510" t="s">
        <v>421</v>
      </c>
      <c s="1510" t="s">
        <v>469</v>
      </c>
      <c r="AH24" s="1510" t="s">
        <v>469</v>
      </c>
      <c r="AK24" s="1510" t="s">
        <v>506</v>
      </c>
      <c s="1510" t="s">
        <v>469</v>
      </c>
      <c r="AP24" s="1510" t="s">
        <v>469</v>
      </c>
      <c r="AY24" s="1510" t="s">
        <v>420</v>
      </c>
      <c r="BA24" s="1510" t="s">
        <v>421</v>
      </c>
      <c r="BD24" s="1514"/>
      <c s="1514"/>
      <c s="1514"/>
      <c s="1514"/>
      <c s="1514"/>
      <c s="1510">
        <v>0</v>
      </c>
    </row>
    <row r="25" spans="15:15 56:61" ht="14.25" customHeight="1" hidden="1">
      <c r="O25" s="1367"/>
      <c r="BD25" s="499"/>
      <c s="499"/>
      <c s="499"/>
      <c s="499"/>
      <c s="499"/>
      <c s="1158">
        <v>0</v>
      </c>
    </row>
    <row r="26" spans="15:15 56:61" ht="14.25" customHeight="1" hidden="1">
      <c r="O26" s="1367"/>
      <c r="BD26" s="499"/>
      <c s="499"/>
      <c s="499"/>
      <c s="499"/>
      <c s="499"/>
      <c s="1158">
        <v>0</v>
      </c>
    </row>
    <row r="27" spans="17:61" ht="14.7" customHeight="1">
      <c r="Q27" s="294"/>
      <c s="379"/>
      <c s="1278"/>
      <c s="366"/>
      <c s="366"/>
      <c s="512"/>
      <c s="512"/>
      <c s="512"/>
      <c s="512"/>
      <c s="512"/>
      <c s="512"/>
      <c s="512"/>
      <c s="512"/>
      <c s="512"/>
      <c s="512"/>
      <c s="512"/>
      <c s="512"/>
      <c s="512"/>
      <c s="512"/>
      <c s="512"/>
      <c s="512"/>
      <c s="512"/>
      <c s="512"/>
      <c s="512"/>
      <c s="512"/>
      <c s="512"/>
      <c s="512"/>
      <c s="512"/>
      <c s="512"/>
      <c s="512"/>
      <c s="512"/>
      <c s="512"/>
      <c s="512"/>
      <c s="512"/>
      <c s="512"/>
      <c s="512"/>
      <c s="512"/>
      <c r="BI27" s="1158">
        <v>14</v>
      </c>
    </row>
    <row r="28" spans="17:61" ht="14.7" customHeight="1">
      <c r="Q28" s="294"/>
      <c s="379"/>
      <c s="2251" t="str">
        <f>IF(TEMPLATE_GROUP="P",PT_P_FORM_VOTV_5_NAME_FORM,PT_R_FORM_VOTV_17_NAME_FORM)</f>
        <v>Форма 14. Информация о предложении организации водоотведения расчетной величины тарифов на подключение к централизованной системе водоотведения</v>
      </c>
      <c s="2251"/>
      <c s="2251"/>
      <c s="2251"/>
      <c s="2251"/>
      <c s="2251"/>
      <c s="2251"/>
      <c s="2251"/>
      <c s="2251"/>
      <c s="2251"/>
      <c s="2251"/>
      <c s="2251"/>
      <c s="2251"/>
      <c s="2251"/>
      <c s="2251"/>
      <c s="2251"/>
      <c s="2251"/>
      <c s="2251"/>
      <c s="2251"/>
      <c s="2251"/>
      <c s="2251"/>
      <c s="2251"/>
      <c s="2251"/>
      <c s="2251"/>
      <c s="2251"/>
      <c s="2251"/>
      <c s="2251"/>
      <c s="2251"/>
      <c s="2251"/>
      <c s="2251"/>
      <c s="2251"/>
      <c s="2251"/>
      <c s="2251"/>
      <c s="2251"/>
      <c s="1246"/>
      <c r="BI28" s="1158">
        <v>14</v>
      </c>
    </row>
    <row r="29" spans="17:61" ht="14.7" customHeight="1">
      <c r="Q29" s="294"/>
      <c s="379"/>
      <c s="2252" t="str">
        <f>IF(org=0,"Не определено",org)</f>
        <v>ГУП КК "Кубаньводкомплекс"</v>
      </c>
      <c s="2252"/>
      <c s="2252"/>
      <c s="2252"/>
      <c s="2252"/>
      <c s="2252"/>
      <c s="2252"/>
      <c s="2252"/>
      <c s="2252"/>
      <c s="2252"/>
      <c s="2252"/>
      <c s="2252"/>
      <c s="2252"/>
      <c s="2252"/>
      <c s="2252"/>
      <c s="2252"/>
      <c s="2252"/>
      <c s="2252"/>
      <c s="2252"/>
      <c s="2252"/>
      <c s="2252"/>
      <c s="2252"/>
      <c s="2252"/>
      <c s="2252"/>
      <c s="2252"/>
      <c s="2252"/>
      <c s="2252"/>
      <c s="2252"/>
      <c s="2252"/>
      <c s="2252"/>
      <c s="2252"/>
      <c s="2252"/>
      <c s="2252"/>
      <c s="2252"/>
      <c s="1246"/>
      <c r="BI29" s="1158">
        <v>14</v>
      </c>
    </row>
    <row r="30" spans="17:61" ht="14.25" customHeight="1" hidden="1">
      <c r="Q30" s="294"/>
      <c s="379"/>
      <c s="1278"/>
      <c s="366"/>
      <c s="366"/>
      <c s="325"/>
      <c s="325"/>
      <c s="325"/>
      <c s="325"/>
      <c s="325"/>
      <c s="325"/>
      <c s="325"/>
      <c s="325"/>
      <c s="325"/>
      <c s="325"/>
      <c s="325"/>
      <c s="325"/>
      <c s="325"/>
      <c s="325"/>
      <c s="325"/>
      <c s="325"/>
      <c s="325"/>
      <c s="325"/>
      <c s="325"/>
      <c s="325"/>
      <c s="325"/>
      <c s="325"/>
      <c s="325"/>
      <c s="325"/>
      <c s="325"/>
      <c s="325"/>
      <c s="325"/>
      <c s="325"/>
      <c s="325"/>
      <c s="325"/>
      <c s="325"/>
      <c s="325"/>
      <c s="512"/>
      <c r="BI30" s="1158">
        <v>0</v>
      </c>
    </row>
    <row r="31" spans="1:61" s="1856" customFormat="1" ht="25.5" customHeight="1" hidden="1">
      <c r="A31" s="1371"/>
      <c s="1371"/>
      <c s="1371"/>
      <c s="1371"/>
      <c s="1371"/>
      <c s="1371"/>
      <c s="1371"/>
      <c s="1371"/>
      <c s="1371"/>
      <c s="1371"/>
      <c s="1371"/>
      <c s="1372"/>
      <c s="1371"/>
      <c s="1371"/>
      <c s="1371"/>
      <c s="1371"/>
      <c s="1371"/>
      <c r="S31" s="2253" t="s">
        <v>42</v>
      </c>
      <c s="2253"/>
      <c s="1375"/>
      <c s="2254" t="str">
        <f>IF(TITLE_NAME_OR_PR_CHANGE="",IF(TITLE_NAME_OR_PR="","",TITLE_NAME_OR_PR),TITLE_NAME_OR_PR_CHANGE)</f>
        <v/>
      </c>
      <c s="2254"/>
      <c s="2254"/>
      <c s="2254"/>
      <c s="2254"/>
      <c s="2254"/>
      <c s="2254"/>
      <c s="329"/>
      <c s="2254" t="str">
        <f>IF(TITLE_NAME_OR_PR_CHANGE="",IF(TITLE_NAME_OR_PR="","",TITLE_NAME_OR_PR),TITLE_NAME_OR_PR_CHANGE)</f>
        <v/>
      </c>
      <c s="2254"/>
      <c s="2254"/>
      <c s="2254"/>
      <c s="2254"/>
      <c s="2254"/>
      <c s="2254"/>
      <c s="2254"/>
      <c s="2254"/>
      <c s="2254"/>
      <c s="2254"/>
      <c s="2254"/>
      <c s="2254"/>
      <c s="2254"/>
      <c s="2254"/>
      <c s="2254"/>
      <c s="2254"/>
      <c s="2254"/>
      <c s="2254"/>
      <c s="2254"/>
      <c s="2254"/>
      <c s="2254"/>
      <c s="2254"/>
      <c s="329"/>
      <c s="329"/>
      <c s="283"/>
      <c s="371"/>
      <c s="371"/>
      <c s="371"/>
      <c s="371"/>
      <c s="371"/>
      <c s="421">
        <v>0</v>
      </c>
    </row>
    <row r="32" spans="1:61" s="1856" customFormat="1" ht="18.75" customHeight="1" hidden="1">
      <c r="A32" s="1371"/>
      <c s="1371"/>
      <c s="1371"/>
      <c s="1371"/>
      <c s="1371"/>
      <c s="1371"/>
      <c s="1371"/>
      <c s="1371"/>
      <c s="1371"/>
      <c s="1371"/>
      <c s="1371"/>
      <c s="1372"/>
      <c s="1371"/>
      <c s="1371"/>
      <c s="1371"/>
      <c s="1371"/>
      <c s="1371"/>
      <c r="S32" s="2253" t="s">
        <v>423</v>
      </c>
      <c s="2253"/>
      <c s="1375"/>
      <c s="2267" t="str">
        <f>IF(TITLE_DATE_PR_CHANGE="",IF(TITLE_DATE_PR="","",TITLE_DATE_PR),TITLE_DATE_PR_CHANGE)</f>
        <v/>
      </c>
      <c s="2267"/>
      <c s="2267"/>
      <c s="2267"/>
      <c s="2267"/>
      <c s="2267"/>
      <c s="2267"/>
      <c s="329"/>
      <c s="2267" t="str">
        <f>IF(TITLE_DATE_PR_CHANGE="",IF(TITLE_DATE_PR="","",TITLE_DATE_PR),TITLE_DATE_PR_CHANGE)</f>
        <v/>
      </c>
      <c s="2267"/>
      <c s="2267"/>
      <c s="2267"/>
      <c s="2267"/>
      <c s="2267"/>
      <c s="2267"/>
      <c s="2267"/>
      <c s="2267"/>
      <c s="2267"/>
      <c s="2267"/>
      <c s="2267"/>
      <c s="2267"/>
      <c s="2267"/>
      <c s="2267"/>
      <c s="2267"/>
      <c s="2267"/>
      <c s="2267"/>
      <c s="2267"/>
      <c s="2267"/>
      <c s="2267"/>
      <c s="2267"/>
      <c s="2267"/>
      <c s="329"/>
      <c s="329"/>
      <c s="283"/>
      <c s="371"/>
      <c s="371"/>
      <c s="371"/>
      <c s="371"/>
      <c s="371"/>
      <c s="421">
        <v>0</v>
      </c>
    </row>
    <row r="33" spans="1:61" s="1856" customFormat="1" ht="18.75" customHeight="1" hidden="1">
      <c r="A33" s="1371"/>
      <c s="1371"/>
      <c s="1371"/>
      <c s="1371"/>
      <c s="1371"/>
      <c s="1371"/>
      <c s="1371"/>
      <c s="1371"/>
      <c s="1371"/>
      <c s="1371"/>
      <c s="1371"/>
      <c s="1372"/>
      <c s="1371"/>
      <c s="1371"/>
      <c s="1371"/>
      <c s="1371"/>
      <c s="1371"/>
      <c r="S33" s="2253" t="s">
        <v>424</v>
      </c>
      <c s="2253"/>
      <c s="1375"/>
      <c s="2254" t="str">
        <f>IF(TITLE_NUMBER_PR_CHANGE="",IF(TITLE_NUMBER_PR="","",TITLE_NUMBER_PR),TITLE_NUMBER_PR_CHANGE)</f>
        <v/>
      </c>
      <c s="2254"/>
      <c s="2254"/>
      <c s="2254"/>
      <c s="2254"/>
      <c s="2254"/>
      <c s="2254"/>
      <c s="329"/>
      <c s="2254" t="str">
        <f>IF(TITLE_NUMBER_PR_CHANGE="",IF(TITLE_NUMBER_PR="","",TITLE_NUMBER_PR),TITLE_NUMBER_PR_CHANGE)</f>
        <v/>
      </c>
      <c s="2254"/>
      <c s="2254"/>
      <c s="2254"/>
      <c s="2254"/>
      <c s="2254"/>
      <c s="2254"/>
      <c s="2254"/>
      <c s="2254"/>
      <c s="2254"/>
      <c s="2254"/>
      <c s="2254"/>
      <c s="2254"/>
      <c s="2254"/>
      <c s="2254"/>
      <c s="2254"/>
      <c s="2254"/>
      <c s="2254"/>
      <c s="2254"/>
      <c s="2254"/>
      <c s="2254"/>
      <c s="2254"/>
      <c s="2254"/>
      <c s="329"/>
      <c s="329"/>
      <c s="283"/>
      <c s="371"/>
      <c s="371"/>
      <c s="371"/>
      <c s="371"/>
      <c s="371"/>
      <c s="421">
        <v>0</v>
      </c>
    </row>
    <row r="34" spans="1:61" s="1856" customFormat="1" ht="18.75" customHeight="1" hidden="1">
      <c r="A34" s="1371"/>
      <c s="1371"/>
      <c s="1371"/>
      <c s="1371"/>
      <c s="1371"/>
      <c s="1371"/>
      <c s="1371"/>
      <c s="1371"/>
      <c s="1371"/>
      <c s="1371"/>
      <c s="1371"/>
      <c s="1372"/>
      <c s="1371"/>
      <c s="1371"/>
      <c s="1371"/>
      <c s="1371"/>
      <c s="1371"/>
      <c r="S34" s="2253" t="s">
        <v>43</v>
      </c>
      <c s="2253"/>
      <c s="1375"/>
      <c s="2254" t="str">
        <f>IF(TITLE_IST_PUB_CHANGE="",IF(TITLE_IST_PUB="","",TITLE_IST_PUB),TITLE_IST_PUB_CHANGE)</f>
        <v/>
      </c>
      <c s="2254"/>
      <c s="2254"/>
      <c s="2254"/>
      <c s="2254"/>
      <c s="2254"/>
      <c s="2254"/>
      <c s="329"/>
      <c s="2254" t="str">
        <f>IF(TITLE_IST_PUB_CHANGE="",IF(TITLE_IST_PUB="","",TITLE_IST_PUB),TITLE_IST_PUB_CHANGE)</f>
        <v/>
      </c>
      <c s="2254"/>
      <c s="2254"/>
      <c s="2254"/>
      <c s="2254"/>
      <c s="2254"/>
      <c s="2254"/>
      <c s="2254"/>
      <c s="2254"/>
      <c s="2254"/>
      <c s="2254"/>
      <c s="2254"/>
      <c s="2254"/>
      <c s="2254"/>
      <c s="2254"/>
      <c s="2254"/>
      <c s="2254"/>
      <c s="2254"/>
      <c s="2254"/>
      <c s="2254"/>
      <c s="2254"/>
      <c s="2254"/>
      <c s="2254"/>
      <c s="329"/>
      <c s="329"/>
      <c s="283"/>
      <c s="371"/>
      <c s="371"/>
      <c s="371"/>
      <c s="371"/>
      <c s="371"/>
      <c s="421">
        <v>0</v>
      </c>
    </row>
    <row r="35" spans="17:61" ht="14.25" customHeight="1" hidden="1">
      <c r="Q35" s="294"/>
      <c s="379"/>
      <c s="1278"/>
      <c s="366"/>
      <c s="366"/>
      <c s="325"/>
      <c s="325"/>
      <c s="325"/>
      <c s="325"/>
      <c s="325"/>
      <c s="325"/>
      <c s="325"/>
      <c s="325"/>
      <c s="325"/>
      <c s="325"/>
      <c s="325"/>
      <c s="325"/>
      <c s="325"/>
      <c s="325"/>
      <c s="325"/>
      <c s="325"/>
      <c s="325"/>
      <c s="325"/>
      <c s="325"/>
      <c s="325"/>
      <c s="325"/>
      <c s="325"/>
      <c s="325"/>
      <c s="325"/>
      <c s="325"/>
      <c s="325"/>
      <c s="325"/>
      <c s="325"/>
      <c s="325"/>
      <c s="325"/>
      <c s="325"/>
      <c s="325"/>
      <c s="512"/>
      <c r="BI35" s="1158">
        <v>0</v>
      </c>
    </row>
    <row r="36" spans="1:61" s="1856" customFormat="1" ht="18.75" customHeight="1" hidden="1">
      <c r="A36" s="1371"/>
      <c s="1371"/>
      <c s="1371"/>
      <c s="1371"/>
      <c s="1371"/>
      <c s="1371"/>
      <c s="1371"/>
      <c s="1371"/>
      <c s="1371"/>
      <c s="1371"/>
      <c s="1371"/>
      <c s="1372"/>
      <c s="1371"/>
      <c s="1371"/>
      <c s="1371"/>
      <c s="1371"/>
      <c s="1371"/>
      <c r="S36" s="2253" t="s">
        <v>423</v>
      </c>
      <c s="2253"/>
      <c s="1375"/>
      <c s="2267" t="str">
        <f>IF(TITLE_DATE_PR_CHANGE="",IF(TITLE_DATE_PR="","",TITLE_DATE_PR),TITLE_DATE_PR_CHANGE)</f>
        <v/>
      </c>
      <c s="2267"/>
      <c s="2267"/>
      <c s="2267"/>
      <c s="2267"/>
      <c s="2267"/>
      <c s="2267"/>
      <c s="329"/>
      <c s="2267" t="str">
        <f>IF(TITLE_DATE_PR_CHANGE="",IF(TITLE_DATE_PR="","",TITLE_DATE_PR),TITLE_DATE_PR_CHANGE)</f>
        <v/>
      </c>
      <c s="2267"/>
      <c s="2267"/>
      <c s="2267"/>
      <c s="2267"/>
      <c s="2267"/>
      <c s="2267"/>
      <c s="2267"/>
      <c s="2267"/>
      <c s="2267"/>
      <c s="2267"/>
      <c s="2267"/>
      <c s="2267"/>
      <c s="2267"/>
      <c s="2267"/>
      <c s="2267"/>
      <c s="2267"/>
      <c s="2267"/>
      <c s="2267"/>
      <c s="2267"/>
      <c s="2267"/>
      <c s="2267"/>
      <c s="2267"/>
      <c s="329"/>
      <c s="329"/>
      <c s="283"/>
      <c s="371"/>
      <c s="371"/>
      <c s="371"/>
      <c s="371"/>
      <c s="371"/>
      <c s="421">
        <v>0</v>
      </c>
    </row>
    <row r="37" spans="1:61" s="1856" customFormat="1" ht="18.75" customHeight="1" hidden="1">
      <c r="A37" s="1371"/>
      <c s="1371"/>
      <c s="1371"/>
      <c s="1371"/>
      <c s="1371"/>
      <c s="1371"/>
      <c s="1371"/>
      <c s="1371"/>
      <c s="1371"/>
      <c s="1371"/>
      <c s="1371"/>
      <c s="1372"/>
      <c s="1371"/>
      <c s="1371"/>
      <c s="1371"/>
      <c s="1371"/>
      <c s="1371"/>
      <c r="S37" s="2253" t="s">
        <v>424</v>
      </c>
      <c s="2253"/>
      <c s="1375"/>
      <c s="2254" t="str">
        <f>IF(TITLE_NUMBER_PR_CHANGE="",IF(TITLE_NUMBER_PR="","",TITLE_NUMBER_PR),TITLE_NUMBER_PR_CHANGE)</f>
        <v/>
      </c>
      <c s="2254"/>
      <c s="2254"/>
      <c s="2254"/>
      <c s="2254"/>
      <c s="2254"/>
      <c s="2254"/>
      <c s="329"/>
      <c s="2254" t="str">
        <f>IF(TITLE_NUMBER_PR_CHANGE="",IF(TITLE_NUMBER_PR="","",TITLE_NUMBER_PR),TITLE_NUMBER_PR_CHANGE)</f>
        <v/>
      </c>
      <c s="2254"/>
      <c s="2254"/>
      <c s="2254"/>
      <c s="2254"/>
      <c s="2254"/>
      <c s="2254"/>
      <c s="2254"/>
      <c s="2254"/>
      <c s="2254"/>
      <c s="2254"/>
      <c s="2254"/>
      <c s="2254"/>
      <c s="2254"/>
      <c s="2254"/>
      <c s="2254"/>
      <c s="2254"/>
      <c s="2254"/>
      <c s="2254"/>
      <c s="2254"/>
      <c s="2254"/>
      <c s="2254"/>
      <c s="2254"/>
      <c s="329"/>
      <c s="329"/>
      <c s="283"/>
      <c s="371"/>
      <c s="371"/>
      <c s="371"/>
      <c s="371"/>
      <c s="371"/>
      <c s="421">
        <v>0</v>
      </c>
    </row>
    <row r="38" spans="1:61" s="1856" customFormat="1" ht="0" customHeight="1">
      <c r="A38" s="1371"/>
      <c s="1371"/>
      <c s="1371"/>
      <c s="1371"/>
      <c s="1371"/>
      <c s="1371"/>
      <c s="1371"/>
      <c s="1371"/>
      <c s="1371"/>
      <c s="1371"/>
      <c s="1371"/>
      <c s="1372"/>
      <c s="1371"/>
      <c s="1371"/>
      <c s="1371"/>
      <c s="1371"/>
      <c s="1371"/>
      <c r="S38" s="326"/>
      <c s="326"/>
      <c s="1491"/>
      <c s="329"/>
      <c s="329"/>
      <c s="329"/>
      <c s="329"/>
      <c s="329"/>
      <c s="329"/>
      <c s="329"/>
      <c s="281" t="s">
        <v>427</v>
      </c>
      <c s="329"/>
      <c s="329"/>
      <c s="329"/>
      <c s="329"/>
      <c s="329"/>
      <c s="329"/>
      <c s="329"/>
      <c s="329"/>
      <c s="329"/>
      <c s="329"/>
      <c s="329"/>
      <c s="329"/>
      <c s="329"/>
      <c s="329"/>
      <c s="329"/>
      <c s="329"/>
      <c s="329"/>
      <c s="329"/>
      <c s="329"/>
      <c s="329"/>
      <c s="329"/>
      <c s="329"/>
      <c s="329"/>
      <c s="281" t="s">
        <v>427</v>
      </c>
      <c r="BD38" s="371"/>
      <c s="371"/>
      <c s="371"/>
      <c s="371"/>
      <c s="371"/>
      <c s="421">
        <v>0</v>
      </c>
    </row>
    <row r="39" spans="17:61" ht="14.7" customHeight="1">
      <c r="Q39" s="294"/>
      <c s="379"/>
      <c s="1278"/>
      <c s="366"/>
      <c s="1247"/>
      <c s="2255"/>
      <c s="2255"/>
      <c s="2255"/>
      <c s="2255"/>
      <c s="2255"/>
      <c s="2255"/>
      <c s="2255"/>
      <c s="2255"/>
      <c s="2255"/>
      <c s="2255"/>
      <c s="2255"/>
      <c s="2255"/>
      <c s="2255"/>
      <c s="2255"/>
      <c s="2255"/>
      <c s="2255"/>
      <c s="2255"/>
      <c s="2255"/>
      <c s="2255"/>
      <c s="2255"/>
      <c s="2255"/>
      <c s="2255"/>
      <c s="2255"/>
      <c s="2255"/>
      <c s="2255"/>
      <c s="2255"/>
      <c s="2255"/>
      <c s="2255"/>
      <c s="2255"/>
      <c s="2255"/>
      <c s="2255"/>
      <c s="2255"/>
      <c r="BI39" s="1158">
        <v>14</v>
      </c>
    </row>
    <row r="40" spans="17:61" ht="14.7" customHeight="1">
      <c r="Q40" s="294"/>
      <c s="379"/>
      <c s="2130" t="s">
        <v>300</v>
      </c>
      <c s="2130"/>
      <c s="2130"/>
      <c s="2130"/>
      <c s="2130"/>
      <c s="2130"/>
      <c s="2130"/>
      <c s="2130"/>
      <c s="2130"/>
      <c s="2130"/>
      <c s="2130"/>
      <c s="2130"/>
      <c s="2130"/>
      <c s="2130"/>
      <c s="2130"/>
      <c s="2130"/>
      <c s="2130"/>
      <c s="2130"/>
      <c s="2130"/>
      <c s="2130"/>
      <c s="2130"/>
      <c s="2130"/>
      <c s="2130"/>
      <c s="2130"/>
      <c s="2130"/>
      <c s="2130"/>
      <c s="2130"/>
      <c s="2130"/>
      <c s="2130"/>
      <c s="2130"/>
      <c s="2130"/>
      <c s="2130"/>
      <c s="2130"/>
      <c s="2130"/>
      <c s="2130"/>
      <c s="2130"/>
      <c s="2130" t="s">
        <v>301</v>
      </c>
      <c r="BI40" s="1158">
        <v>14</v>
      </c>
    </row>
    <row r="41" spans="17:61" ht="14.7" customHeight="1">
      <c r="Q41" s="294"/>
      <c s="379"/>
      <c s="2276" t="s">
        <v>87</v>
      </c>
      <c s="2212" t="s">
        <v>507</v>
      </c>
      <c s="304"/>
      <c s="2277" t="s">
        <v>429</v>
      </c>
      <c s="2278"/>
      <c s="2278"/>
      <c s="2278"/>
      <c s="2278"/>
      <c s="2278"/>
      <c s="2279"/>
      <c s="2280" t="s">
        <v>430</v>
      </c>
      <c s="2331" t="s">
        <v>524</v>
      </c>
      <c s="2294"/>
      <c s="2294"/>
      <c s="2332"/>
      <c s="2331" t="s">
        <v>525</v>
      </c>
      <c s="2294"/>
      <c s="2294"/>
      <c s="2332"/>
      <c s="2331" t="s">
        <v>526</v>
      </c>
      <c s="2294"/>
      <c s="2294"/>
      <c s="2332"/>
      <c s="2331" t="s">
        <v>511</v>
      </c>
      <c s="2294"/>
      <c s="2294"/>
      <c s="2332"/>
      <c s="2277" t="s">
        <v>429</v>
      </c>
      <c s="2278"/>
      <c s="2278"/>
      <c s="2278"/>
      <c s="2278"/>
      <c s="2278"/>
      <c s="2279"/>
      <c s="2280" t="s">
        <v>430</v>
      </c>
      <c s="2283" t="s">
        <v>432</v>
      </c>
      <c s="2130"/>
      <c r="BI41" s="1158">
        <v>14</v>
      </c>
    </row>
    <row r="42" spans="17:61" ht="35.7" customHeight="1">
      <c r="Q42" s="294"/>
      <c s="379"/>
      <c s="2276"/>
      <c s="2212"/>
      <c s="1034"/>
      <c s="2195" t="s">
        <v>512</v>
      </c>
      <c s="2196"/>
      <c s="2195" t="s">
        <v>513</v>
      </c>
      <c s="2196"/>
      <c s="2297" t="s">
        <v>514</v>
      </c>
      <c s="2316"/>
      <c s="2317"/>
      <c s="2281"/>
      <c s="2333"/>
      <c s="2334"/>
      <c s="2334"/>
      <c s="2335"/>
      <c s="2333"/>
      <c s="2334"/>
      <c s="2334"/>
      <c s="2335"/>
      <c s="2333"/>
      <c s="2334"/>
      <c s="2334"/>
      <c s="2335"/>
      <c s="2333"/>
      <c s="2334"/>
      <c s="2334"/>
      <c s="2335"/>
      <c s="2195" t="s">
        <v>527</v>
      </c>
      <c s="2196"/>
      <c s="2195" t="s">
        <v>528</v>
      </c>
      <c s="2196"/>
      <c s="2297" t="s">
        <v>514</v>
      </c>
      <c s="2316"/>
      <c s="2317"/>
      <c s="2281"/>
      <c s="2284"/>
      <c s="2130"/>
      <c r="BI42" s="1158">
        <v>34</v>
      </c>
    </row>
    <row r="43" spans="17:61" ht="14.7" customHeight="1">
      <c r="Q43" s="294"/>
      <c s="379"/>
      <c s="2276"/>
      <c s="2212"/>
      <c s="1034"/>
      <c s="2203"/>
      <c s="2204"/>
      <c s="2203"/>
      <c s="2204"/>
      <c s="2298"/>
      <c s="2318"/>
      <c s="2319"/>
      <c s="2281"/>
      <c s="2333"/>
      <c s="2334"/>
      <c s="2334"/>
      <c s="2335"/>
      <c s="2333"/>
      <c s="2334"/>
      <c s="2334"/>
      <c s="2335"/>
      <c s="2333"/>
      <c s="2334"/>
      <c s="2334"/>
      <c s="2335"/>
      <c s="2333"/>
      <c s="2334"/>
      <c s="2334"/>
      <c s="2335"/>
      <c s="2203"/>
      <c s="2204"/>
      <c s="2203"/>
      <c s="2204"/>
      <c s="2298"/>
      <c s="2318"/>
      <c s="2319"/>
      <c s="2281"/>
      <c s="2284"/>
      <c s="2130"/>
      <c r="BI43" s="1158">
        <v>14</v>
      </c>
    </row>
    <row r="44" spans="1:61" ht="14.7" customHeight="1">
      <c r="A44" s="1373"/>
      <c s="1373" t="s">
        <v>137</v>
      </c>
      <c s="1373" t="s">
        <v>138</v>
      </c>
      <c s="1373" t="s">
        <v>139</v>
      </c>
      <c s="1367" t="s">
        <v>437</v>
      </c>
      <c s="1367" t="s">
        <v>438</v>
      </c>
      <c s="1367" t="s">
        <v>439</v>
      </c>
      <c s="1367" t="s">
        <v>440</v>
      </c>
      <c s="1367" t="s">
        <v>441</v>
      </c>
      <c s="1367" t="s">
        <v>442</v>
      </c>
      <c s="1367" t="s">
        <v>443</v>
      </c>
      <c s="1367" t="s">
        <v>418</v>
      </c>
      <c r="Q44" s="294"/>
      <c s="379"/>
      <c s="2276"/>
      <c s="2212"/>
      <c s="305"/>
      <c s="1482" t="s">
        <v>478</v>
      </c>
      <c s="1482" t="s">
        <v>479</v>
      </c>
      <c s="1482" t="s">
        <v>478</v>
      </c>
      <c s="1482" t="s">
        <v>479</v>
      </c>
      <c s="1492" t="s">
        <v>446</v>
      </c>
      <c s="2273" t="s">
        <v>447</v>
      </c>
      <c s="2274"/>
      <c s="2282"/>
      <c s="2336"/>
      <c s="2337"/>
      <c s="2337"/>
      <c s="2338"/>
      <c s="2336"/>
      <c s="2337"/>
      <c s="2337"/>
      <c s="2338"/>
      <c s="2336"/>
      <c s="2337"/>
      <c s="2337"/>
      <c s="2338"/>
      <c s="2336"/>
      <c s="2337"/>
      <c s="2337"/>
      <c s="2338"/>
      <c s="1482" t="s">
        <v>478</v>
      </c>
      <c s="1482" t="s">
        <v>479</v>
      </c>
      <c s="1482" t="s">
        <v>478</v>
      </c>
      <c s="1482" t="s">
        <v>479</v>
      </c>
      <c s="1492" t="s">
        <v>446</v>
      </c>
      <c s="2273" t="s">
        <v>447</v>
      </c>
      <c s="2274"/>
      <c s="2282"/>
      <c s="2285"/>
      <c s="2130"/>
      <c r="BI44" s="1158">
        <v>14</v>
      </c>
    </row>
    <row r="45" spans="1:61" s="1644" customFormat="1" ht="11.25" customHeight="1" hidden="1">
      <c r="A45" s="1373"/>
      <c s="1373"/>
      <c s="1373"/>
      <c s="1373"/>
      <c s="1373"/>
      <c s="1373"/>
      <c s="1373"/>
      <c s="1373"/>
      <c s="1373"/>
      <c s="1373"/>
      <c s="1373"/>
      <c s="1367"/>
      <c s="1365"/>
      <c s="1365"/>
      <c s="1365"/>
      <c s="513"/>
      <c s="1257"/>
      <c s="1257">
        <v>1</v>
      </c>
      <c s="1280" t="s">
        <v>109</v>
      </c>
      <c s="1258" t="s">
        <v>110</v>
      </c>
      <c s="1248" t="str">
        <f ca="1">OFFSET(U45,0,-1)</f>
        <v>2</v>
      </c>
      <c s="1485">
        <f ca="1">OFFSET(V45,0,-1)+1</f>
        <v>3</v>
      </c>
      <c s="1485">
        <f ca="1">OFFSET(W45,0,-1)+1</f>
        <v>4</v>
      </c>
      <c s="1485">
        <f ca="1">OFFSET(X45,0,-1)+1</f>
        <v>5</v>
      </c>
      <c s="1485">
        <f ca="1">OFFSET(Y45,0,-1)+1</f>
        <v>6</v>
      </c>
      <c s="1485">
        <f ca="1">OFFSET(Z45,0,-1)+1</f>
        <v>7</v>
      </c>
      <c s="2275">
        <f ca="1">OFFSET(AA45,0,-1)+1</f>
        <v>8</v>
      </c>
      <c s="2275"/>
      <c s="1485">
        <f ca="1">OFFSET(AC45,0,-2)+1</f>
        <v>9</v>
      </c>
      <c s="1485">
        <f ca="1">OFFSET(AD45,0,-1)+1</f>
        <v>10</v>
      </c>
      <c s="1485"/>
      <c s="1485"/>
      <c s="1485"/>
      <c s="1485"/>
      <c s="1485"/>
      <c s="1485"/>
      <c s="1485"/>
      <c s="1485"/>
      <c s="1485"/>
      <c s="1485"/>
      <c s="1485"/>
      <c s="1485"/>
      <c s="1485"/>
      <c s="1485"/>
      <c s="1485"/>
      <c s="1485"/>
      <c s="1485"/>
      <c s="1485"/>
      <c s="1485">
        <f ca="1">OFFSET(AW45,0,-1)+1</f>
        <v>1</v>
      </c>
      <c s="1485">
        <f ca="1">OFFSET(AX45,0,-1)+1</f>
        <v>2</v>
      </c>
      <c s="2275">
        <f ca="1">OFFSET(AY45,0,-1)+1</f>
        <v>3</v>
      </c>
      <c s="2275"/>
      <c s="1485">
        <f ca="1">OFFSET(BA45,0,-2)+1</f>
        <v>4</v>
      </c>
      <c s="1248">
        <f ca="1">OFFSET(BB45,0,-1)</f>
        <v>4</v>
      </c>
      <c s="1485">
        <f ca="1">OFFSET(BC45,0,-1)+1</f>
        <v>5</v>
      </c>
      <c s="514"/>
      <c s="514"/>
      <c s="514"/>
      <c s="514"/>
      <c s="514"/>
      <c s="499">
        <v>0</v>
      </c>
    </row>
    <row r="46" spans="1:61" ht="22.05" customHeight="1">
      <c r="A46" s="1366" t="s">
        <v>276</v>
      </c>
      <c s="1366"/>
      <c s="1366"/>
      <c s="1366"/>
      <c s="2261">
        <v>1</v>
      </c>
      <c s="1366"/>
      <c s="1366"/>
      <c s="1366"/>
      <c s="1366"/>
      <c s="1366"/>
      <c s="1366"/>
      <c s="1367"/>
      <c s="1368"/>
      <c s="1368"/>
      <c s="1368"/>
      <c s="1412"/>
      <c s="876"/>
      <c s="358"/>
      <c s="1496">
        <f>INDEX(PT_DIFFERENTIATION_NUM_NTAR,MATCH(A46,PT_DIFFERENTIATION_NTAR_ID,0))</f>
        <v>0</v>
      </c>
      <c s="301" t="s">
        <v>125</v>
      </c>
      <c s="303"/>
      <c s="2246"/>
      <c s="2246"/>
      <c s="2246"/>
      <c s="2246"/>
      <c s="2246"/>
      <c s="2246"/>
      <c s="2246"/>
      <c s="2247"/>
      <c s="2245" t="str">
        <f>INDEX(PT_DIFFERENTIATION_NTAR,MATCH(A46,PT_DIFFERENTIATION_NTAR_ID,0))</f>
        <v/>
      </c>
      <c s="2246"/>
      <c s="2246"/>
      <c s="2246"/>
      <c s="2246"/>
      <c s="2246"/>
      <c s="2246"/>
      <c s="2246"/>
      <c s="2246"/>
      <c s="2246"/>
      <c s="2246"/>
      <c s="2246"/>
      <c s="2246"/>
      <c s="2246"/>
      <c s="2246"/>
      <c s="2246"/>
      <c s="2246"/>
      <c s="2246"/>
      <c s="2246"/>
      <c s="2246"/>
      <c s="2246"/>
      <c s="2246"/>
      <c s="2246"/>
      <c s="2246"/>
      <c s="2247"/>
      <c s="126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503"/>
      <c s="503" t="str">
        <f>IF(T46="","",T46)</f>
        <v>Наименование тарифа</v>
      </c>
      <c s="503"/>
      <c s="503"/>
      <c s="1158">
        <v>21</v>
      </c>
    </row>
    <row r="47" spans="1:61" ht="22.05" customHeight="1">
      <c r="A47" s="1366" t="s">
        <v>276</v>
      </c>
      <c s="1366" t="s">
        <v>277</v>
      </c>
      <c s="1366"/>
      <c s="1366"/>
      <c s="2262"/>
      <c s="2261">
        <v>1</v>
      </c>
      <c s="1366"/>
      <c s="1366"/>
      <c s="1366"/>
      <c s="1366"/>
      <c s="1366"/>
      <c s="1367"/>
      <c s="1368"/>
      <c s="1368"/>
      <c s="1368"/>
      <c s="1413"/>
      <c s="1414"/>
      <c s="356"/>
      <c s="1496" t="str">
        <f>INDEX(PT_DIFFERENTIATION_NUM_TER,MATCH(B47,PT_DIFFERENTIATION_TER_ID,0))</f>
        <v>.</v>
      </c>
      <c s="311" t="s">
        <v>397</v>
      </c>
      <c s="303"/>
      <c s="2246"/>
      <c s="2246"/>
      <c s="2246"/>
      <c s="2246"/>
      <c s="2246"/>
      <c s="2246"/>
      <c s="2246"/>
      <c s="2247"/>
      <c s="2245" t="str">
        <f>INDEX(PT_DIFFERENTIATION_TER,MATCH(B47,PT_DIFFERENTIATION_TER_ID,0))</f>
        <v/>
      </c>
      <c s="2246"/>
      <c s="2246"/>
      <c s="2246"/>
      <c s="2246"/>
      <c s="2246"/>
      <c s="2246"/>
      <c s="2246"/>
      <c s="2246"/>
      <c s="2246"/>
      <c s="2246"/>
      <c s="2246"/>
      <c s="2246"/>
      <c s="2246"/>
      <c s="2246"/>
      <c s="2246"/>
      <c s="2246"/>
      <c s="2246"/>
      <c s="2246"/>
      <c s="2246"/>
      <c s="2246"/>
      <c s="2246"/>
      <c s="2246"/>
      <c s="2246"/>
      <c s="2247"/>
      <c s="1261" t="s">
        <v>398</v>
      </c>
      <c r="BE47" s="503"/>
      <c s="503" t="str">
        <f>IF(T47="","",T47)</f>
        <v>Территория действия тарифа</v>
      </c>
      <c s="503"/>
      <c s="503"/>
      <c s="1158">
        <v>21</v>
      </c>
    </row>
    <row r="48" spans="1:61" ht="35.7" customHeight="1">
      <c r="A48" s="1366" t="s">
        <v>276</v>
      </c>
      <c s="1366" t="s">
        <v>277</v>
      </c>
      <c s="1366" t="s">
        <v>278</v>
      </c>
      <c s="1366"/>
      <c s="2262"/>
      <c s="2262"/>
      <c s="2261">
        <v>1</v>
      </c>
      <c s="1366"/>
      <c s="1366"/>
      <c s="1366"/>
      <c s="1366"/>
      <c s="1367"/>
      <c s="1368"/>
      <c s="1368"/>
      <c s="1368"/>
      <c s="1415"/>
      <c s="1414"/>
      <c s="356"/>
      <c s="1496" t="str">
        <f>INDEX(PT_DIFFERENTIATION_NUM_CS,MATCH(C48,PT_DIFFERENTIATION_CS_ID,0))</f>
        <v>..</v>
      </c>
      <c s="312" t="s">
        <v>516</v>
      </c>
      <c s="303"/>
      <c s="2246"/>
      <c s="2246"/>
      <c s="2246"/>
      <c s="2246"/>
      <c s="2246"/>
      <c s="2246"/>
      <c s="2246"/>
      <c s="2247"/>
      <c s="2245" t="str">
        <f>INDEX(PT_DIFFERENTIATION_CS,MATCH(C48,PT_DIFFERENTIATION_CS_ID,0))</f>
        <v/>
      </c>
      <c s="2246"/>
      <c s="2246"/>
      <c s="2246"/>
      <c s="2246"/>
      <c s="2246"/>
      <c s="2246"/>
      <c s="2246"/>
      <c s="2246"/>
      <c s="2246"/>
      <c s="2246"/>
      <c s="2246"/>
      <c s="2246"/>
      <c s="2246"/>
      <c s="2246"/>
      <c s="2246"/>
      <c s="2246"/>
      <c s="2246"/>
      <c s="2246"/>
      <c s="2246"/>
      <c s="2246"/>
      <c s="2246"/>
      <c s="2246"/>
      <c s="2246"/>
      <c s="2247"/>
      <c s="1261" t="s">
        <v>517</v>
      </c>
      <c r="BE48" s="503"/>
      <c s="503" t="str">
        <f>IF(T48="","",T48)</f>
        <v>Наименование централизованной системы водоотведения</v>
      </c>
      <c s="503"/>
      <c s="503"/>
      <c s="1158">
        <v>34</v>
      </c>
    </row>
    <row r="49" spans="1:61" s="1645" customFormat="1" ht="0" customHeight="1">
      <c r="A49" s="1346" t="s">
        <v>276</v>
      </c>
      <c s="1346" t="s">
        <v>277</v>
      </c>
      <c s="1346" t="s">
        <v>278</v>
      </c>
      <c s="1346" t="s">
        <v>529</v>
      </c>
      <c s="2262"/>
      <c s="2262"/>
      <c s="2262"/>
      <c s="2261">
        <v>1</v>
      </c>
      <c s="1346"/>
      <c s="1346"/>
      <c s="1346"/>
      <c s="1349"/>
      <c s="1318"/>
      <c s="1318"/>
      <c s="1318"/>
      <c s="1500"/>
      <c s="1501"/>
      <c s="360"/>
      <c s="1045"/>
      <c s="1502"/>
      <c s="1387"/>
      <c s="2300"/>
      <c s="2300"/>
      <c s="2300"/>
      <c s="2300"/>
      <c s="2300"/>
      <c s="2300"/>
      <c s="2300"/>
      <c s="2301"/>
      <c s="2299"/>
      <c s="2300"/>
      <c s="2300"/>
      <c s="2300"/>
      <c s="2300"/>
      <c s="2300"/>
      <c s="2300"/>
      <c s="2300"/>
      <c s="2300"/>
      <c s="2300"/>
      <c s="2300"/>
      <c s="2300"/>
      <c s="2300"/>
      <c s="2300"/>
      <c s="2300"/>
      <c s="2300"/>
      <c s="2300"/>
      <c s="2300"/>
      <c s="2300"/>
      <c s="2300"/>
      <c s="2300"/>
      <c s="2300"/>
      <c s="2300"/>
      <c s="2300"/>
      <c s="2301"/>
      <c s="1388" t="s">
        <v>402</v>
      </c>
      <c r="BE49" s="503"/>
      <c s="503" t="str">
        <f>IF(T49="","",T49)</f>
        <v/>
      </c>
      <c s="503"/>
      <c s="503"/>
      <c s="514">
        <v>0</v>
      </c>
    </row>
    <row r="50" spans="1:61" s="1645" customFormat="1" ht="0" customHeight="1">
      <c r="A50" s="1346" t="s">
        <v>276</v>
      </c>
      <c s="1346" t="s">
        <v>277</v>
      </c>
      <c s="1346" t="s">
        <v>278</v>
      </c>
      <c s="1346" t="s">
        <v>529</v>
      </c>
      <c s="2262"/>
      <c s="2262"/>
      <c s="2262"/>
      <c s="2262"/>
      <c s="2259" t="str">
        <f>S49&amp;".1"</f>
        <v>.1</v>
      </c>
      <c s="1346"/>
      <c s="1346"/>
      <c s="1349" t="s">
        <v>403</v>
      </c>
      <c s="513"/>
      <c s="513"/>
      <c s="513"/>
      <c s="2260">
        <v>1</v>
      </c>
      <c s="1484"/>
      <c s="359"/>
      <c s="1045"/>
      <c s="1386"/>
      <c s="1387"/>
      <c s="2300"/>
      <c s="2300"/>
      <c s="2300"/>
      <c s="2300"/>
      <c s="2300"/>
      <c s="2300"/>
      <c s="2300"/>
      <c s="2301"/>
      <c s="2299"/>
      <c s="2300"/>
      <c s="2300"/>
      <c s="2300"/>
      <c s="2300"/>
      <c s="2300"/>
      <c s="2300"/>
      <c s="2300"/>
      <c s="2300"/>
      <c s="2300"/>
      <c s="2300"/>
      <c s="2300"/>
      <c s="2300"/>
      <c s="2300"/>
      <c s="2300"/>
      <c s="2300"/>
      <c s="2300"/>
      <c s="2300"/>
      <c s="2300"/>
      <c s="2300"/>
      <c s="2300"/>
      <c s="2300"/>
      <c s="2300"/>
      <c s="2300"/>
      <c s="2301"/>
      <c s="1388"/>
      <c r="BE50" s="503"/>
      <c s="503" t="str">
        <f>IF(T50="","",T50)</f>
        <v/>
      </c>
      <c s="503"/>
      <c s="503"/>
      <c s="514">
        <v>0</v>
      </c>
    </row>
    <row r="51" spans="1:61" s="1645" customFormat="1" ht="0" customHeight="1">
      <c r="A51" s="1346" t="s">
        <v>276</v>
      </c>
      <c s="1346" t="s">
        <v>277</v>
      </c>
      <c s="1346" t="s">
        <v>278</v>
      </c>
      <c s="1346" t="s">
        <v>529</v>
      </c>
      <c s="2262"/>
      <c s="2262"/>
      <c s="2262"/>
      <c s="2262"/>
      <c s="2289"/>
      <c s="2259" t="str">
        <f>S49&amp;".1"</f>
        <v>.1</v>
      </c>
      <c s="1346"/>
      <c s="1349"/>
      <c s="513"/>
      <c s="513"/>
      <c s="513"/>
      <c s="2260"/>
      <c s="2260">
        <v>1</v>
      </c>
      <c s="360"/>
      <c s="1045"/>
      <c s="1402"/>
      <c s="1387"/>
      <c s="2300"/>
      <c s="2300"/>
      <c s="2300"/>
      <c s="2300"/>
      <c s="2300"/>
      <c s="2300"/>
      <c s="2300"/>
      <c s="2301"/>
      <c s="2299"/>
      <c s="2300"/>
      <c s="2300"/>
      <c s="2300"/>
      <c s="2300"/>
      <c s="2300"/>
      <c s="2300"/>
      <c s="2300"/>
      <c s="2300"/>
      <c s="2300"/>
      <c s="2367"/>
      <c s="2367"/>
      <c s="2300"/>
      <c s="2300"/>
      <c s="2300"/>
      <c s="2300"/>
      <c s="2300"/>
      <c s="2300"/>
      <c s="2300"/>
      <c s="2300"/>
      <c s="2300"/>
      <c s="2300"/>
      <c s="2300"/>
      <c s="2300"/>
      <c s="2301"/>
      <c s="1388"/>
      <c r="BE51" s="503"/>
      <c s="503" t="str">
        <f>IF(T51="","",T51)</f>
        <v/>
      </c>
      <c s="503"/>
      <c s="503"/>
      <c s="514">
        <v>0</v>
      </c>
    </row>
    <row r="52" spans="1:61" ht="11.55" customHeight="1">
      <c r="A52" s="1366" t="s">
        <v>276</v>
      </c>
      <c s="1366" t="s">
        <v>277</v>
      </c>
      <c s="1366" t="s">
        <v>278</v>
      </c>
      <c s="1366" t="s">
        <v>529</v>
      </c>
      <c s="2262"/>
      <c s="2262"/>
      <c s="2262"/>
      <c s="2262"/>
      <c s="2289"/>
      <c s="2289"/>
      <c s="2259" t="str">
        <f>S48&amp;".1"</f>
        <v>...1</v>
      </c>
      <c s="1367"/>
      <c r="P52" s="2260"/>
      <c s="2260"/>
      <c s="360">
        <v>1</v>
      </c>
      <c s="2344" t="str">
        <f>$K52</f>
        <v>...1</v>
      </c>
      <c s="2363"/>
      <c s="303"/>
      <c s="754"/>
      <c s="1260"/>
      <c s="754"/>
      <c s="1260"/>
      <c s="1737"/>
      <c s="1472" t="s">
        <v>65</v>
      </c>
      <c s="1737"/>
      <c s="1472" t="s">
        <v>65</v>
      </c>
      <c s="2188" t="s">
        <v>65</v>
      </c>
      <c s="2329"/>
      <c s="2208">
        <v>1</v>
      </c>
      <c s="2366"/>
      <c s="2110" t="s">
        <v>65</v>
      </c>
      <c s="2329"/>
      <c s="2208">
        <v>1</v>
      </c>
      <c s="2330" t="s">
        <v>22</v>
      </c>
      <c s="2110" t="s">
        <v>65</v>
      </c>
      <c s="2195"/>
      <c s="2208">
        <v>1</v>
      </c>
      <c s="2360"/>
      <c s="2361" t="s">
        <v>65</v>
      </c>
      <c s="314"/>
      <c s="1489">
        <v>1</v>
      </c>
      <c s="1495" t="s">
        <v>22</v>
      </c>
      <c s="754"/>
      <c s="1260"/>
      <c s="754"/>
      <c s="1260"/>
      <c s="1737"/>
      <c s="1472" t="s">
        <v>65</v>
      </c>
      <c s="1737"/>
      <c s="1472" t="s">
        <v>65</v>
      </c>
      <c s="1351"/>
      <c s="2256" t="s">
        <v>501</v>
      </c>
      <c r="BE52" s="503"/>
      <c s="503" t="str">
        <f>IF(T52="","",T52)</f>
        <v/>
      </c>
      <c s="503"/>
      <c s="503"/>
      <c s="1158">
        <v>11</v>
      </c>
    </row>
    <row r="53" spans="1:61" ht="11.55" customHeight="1">
      <c r="A53" s="1366"/>
      <c s="1366"/>
      <c s="1366"/>
      <c s="1366"/>
      <c s="2262"/>
      <c s="2262"/>
      <c s="2262"/>
      <c s="2262"/>
      <c s="2289"/>
      <c s="2289"/>
      <c s="2259"/>
      <c s="1367"/>
      <c r="P53" s="2260"/>
      <c s="2260"/>
      <c s="360"/>
      <c s="2345"/>
      <c s="2364"/>
      <c s="303"/>
      <c s="1396"/>
      <c s="1499"/>
      <c s="1396"/>
      <c s="1499"/>
      <c s="1396"/>
      <c s="1396"/>
      <c s="1396"/>
      <c s="1396"/>
      <c s="2189"/>
      <c s="2329"/>
      <c s="2208"/>
      <c s="2366"/>
      <c s="2110"/>
      <c s="2329"/>
      <c s="2208"/>
      <c s="2330"/>
      <c s="2110"/>
      <c s="2203"/>
      <c s="2208"/>
      <c s="2360"/>
      <c s="2362"/>
      <c s="319"/>
      <c s="419"/>
      <c s="419" t="s">
        <v>502</v>
      </c>
      <c s="1396"/>
      <c s="1499"/>
      <c s="1396"/>
      <c s="1499"/>
      <c s="1396"/>
      <c s="1396"/>
      <c s="1396"/>
      <c s="1396"/>
      <c s="1400"/>
      <c s="2257"/>
      <c r="BE53" s="503"/>
      <c s="503"/>
      <c s="503"/>
      <c s="503"/>
      <c s="1158">
        <v>11</v>
      </c>
    </row>
    <row r="54" spans="1:61" ht="11.55" customHeight="1">
      <c r="A54" s="1366" t="s">
        <v>276</v>
      </c>
      <c s="1366"/>
      <c s="1366"/>
      <c s="1366"/>
      <c s="2262"/>
      <c s="2262"/>
      <c s="2262"/>
      <c s="2262"/>
      <c s="2289"/>
      <c s="2289"/>
      <c s="2259"/>
      <c s="1367"/>
      <c r="P54" s="2260"/>
      <c s="2260"/>
      <c s="360"/>
      <c s="2345"/>
      <c s="2364"/>
      <c s="303"/>
      <c s="1396"/>
      <c s="1499"/>
      <c s="1396"/>
      <c s="1499"/>
      <c s="1396"/>
      <c s="1396"/>
      <c s="1396"/>
      <c s="1396"/>
      <c s="2189"/>
      <c s="2329"/>
      <c s="2208"/>
      <c s="2366"/>
      <c s="2110"/>
      <c s="2329"/>
      <c s="2208"/>
      <c s="2330"/>
      <c s="2110"/>
      <c s="319"/>
      <c s="1503"/>
      <c s="1503" t="s">
        <v>522</v>
      </c>
      <c s="419"/>
      <c s="419"/>
      <c s="419"/>
      <c s="1396"/>
      <c s="1396"/>
      <c s="1499"/>
      <c s="1396"/>
      <c s="1499"/>
      <c s="1396"/>
      <c s="1396"/>
      <c s="1396"/>
      <c s="1396"/>
      <c s="1400"/>
      <c s="2257"/>
      <c r="BE54" s="503"/>
      <c s="503"/>
      <c s="503"/>
      <c s="503"/>
      <c s="1158">
        <v>11</v>
      </c>
    </row>
    <row r="55" spans="1:61" ht="11.55" customHeight="1">
      <c r="A55" s="1366" t="s">
        <v>276</v>
      </c>
      <c s="1366"/>
      <c s="1366"/>
      <c s="1366"/>
      <c s="2262"/>
      <c s="2262"/>
      <c s="2262"/>
      <c s="2262"/>
      <c s="2289"/>
      <c s="2289"/>
      <c s="2259"/>
      <c s="1367"/>
      <c r="P55" s="2260"/>
      <c s="2260"/>
      <c s="360"/>
      <c s="2345"/>
      <c s="2364"/>
      <c s="303"/>
      <c s="1396"/>
      <c s="1499"/>
      <c s="1396"/>
      <c s="1499"/>
      <c s="1396"/>
      <c s="1396"/>
      <c s="1396"/>
      <c s="1396"/>
      <c s="2189"/>
      <c s="2329"/>
      <c s="2208"/>
      <c s="2366"/>
      <c s="2110"/>
      <c s="297"/>
      <c s="418"/>
      <c s="316" t="s">
        <v>523</v>
      </c>
      <c s="1396"/>
      <c s="1396"/>
      <c s="1396"/>
      <c s="1396"/>
      <c s="1396"/>
      <c s="1396"/>
      <c s="1396"/>
      <c s="1396"/>
      <c s="1396"/>
      <c s="1499"/>
      <c s="1396"/>
      <c s="1499"/>
      <c s="1396"/>
      <c s="1396"/>
      <c s="1396"/>
      <c s="1396"/>
      <c s="1400"/>
      <c s="2257"/>
      <c r="BE55" s="503"/>
      <c s="503"/>
      <c s="503"/>
      <c s="503"/>
      <c s="1158">
        <v>11</v>
      </c>
    </row>
    <row r="56" spans="1:61" ht="11.55" customHeight="1">
      <c r="A56" s="1366" t="s">
        <v>276</v>
      </c>
      <c s="1366" t="s">
        <v>277</v>
      </c>
      <c s="1366" t="s">
        <v>278</v>
      </c>
      <c s="1366" t="s">
        <v>529</v>
      </c>
      <c s="2262"/>
      <c s="2262"/>
      <c s="2262"/>
      <c s="2262"/>
      <c s="2289"/>
      <c s="2289"/>
      <c s="2259"/>
      <c s="1367"/>
      <c r="P56" s="2260"/>
      <c s="2260"/>
      <c s="360"/>
      <c s="2346"/>
      <c s="2365"/>
      <c s="303"/>
      <c s="1396"/>
      <c s="1397" t="str">
        <f>Z52&amp;"-"&amp;AB52</f>
        <v>-</v>
      </c>
      <c s="1396"/>
      <c s="1397" t="str">
        <f>AB52&amp;"-"&amp;AD52</f>
        <v>-да</v>
      </c>
      <c s="1396"/>
      <c s="1396"/>
      <c s="1396"/>
      <c s="1396"/>
      <c s="2115"/>
      <c s="315"/>
      <c s="317"/>
      <c s="419" t="s">
        <v>505</v>
      </c>
      <c s="1396"/>
      <c s="1396"/>
      <c s="1396"/>
      <c s="1396"/>
      <c s="1396"/>
      <c s="1396"/>
      <c s="1396"/>
      <c s="1396"/>
      <c s="1396"/>
      <c s="1396"/>
      <c s="1396"/>
      <c s="1396"/>
      <c s="1396"/>
      <c s="1397" t="str">
        <f>AX52&amp;"-"&amp;AZ52</f>
        <v>-</v>
      </c>
      <c s="1396"/>
      <c s="1397" t="str">
        <f>AZ52&amp;"-"&amp;BB52</f>
        <v>-</v>
      </c>
      <c s="1396"/>
      <c s="1396"/>
      <c s="1396"/>
      <c s="1396"/>
      <c s="1399" t="str">
        <f>BE52&amp;"-"&amp;BG52</f>
        <v>-</v>
      </c>
      <c s="2257"/>
      <c r="BE56" s="503"/>
      <c s="503" t="str">
        <f>IF(T56="","",T56)</f>
        <v/>
      </c>
      <c s="503"/>
      <c s="503"/>
      <c s="1158">
        <v>11</v>
      </c>
    </row>
    <row r="57" spans="1:61" ht="11.55" customHeight="1">
      <c r="A57" s="1366" t="s">
        <v>276</v>
      </c>
      <c s="1366" t="s">
        <v>277</v>
      </c>
      <c s="1366" t="s">
        <v>278</v>
      </c>
      <c s="1366" t="s">
        <v>529</v>
      </c>
      <c s="2262"/>
      <c s="2262"/>
      <c s="2262"/>
      <c s="2262"/>
      <c s="2289"/>
      <c s="2259"/>
      <c s="1366"/>
      <c s="1367"/>
      <c r="P57" s="2260"/>
      <c s="2260"/>
      <c s="359"/>
      <c s="1281"/>
      <c s="290" t="s">
        <v>468</v>
      </c>
      <c s="370"/>
      <c s="370"/>
      <c s="370"/>
      <c s="370"/>
      <c s="370"/>
      <c s="370"/>
      <c s="370"/>
      <c s="370"/>
      <c s="327"/>
      <c s="1508"/>
      <c s="370"/>
      <c s="370"/>
      <c s="370"/>
      <c s="370"/>
      <c s="370"/>
      <c s="370"/>
      <c s="370"/>
      <c s="370"/>
      <c s="370"/>
      <c s="370"/>
      <c s="370"/>
      <c s="370"/>
      <c s="370"/>
      <c s="370"/>
      <c s="370"/>
      <c s="370"/>
      <c s="370"/>
      <c s="370"/>
      <c s="370"/>
      <c s="370"/>
      <c s="370"/>
      <c s="370"/>
      <c s="370"/>
      <c s="327"/>
      <c s="2258"/>
      <c r="BE57" s="503"/>
      <c s="503" t="str">
        <f>IF(T57="","",T57)</f>
        <v>Добавить строку</v>
      </c>
      <c s="503"/>
      <c s="503"/>
      <c s="1158">
        <v>11</v>
      </c>
    </row>
    <row r="58" spans="1:61" s="1645" customFormat="1" ht="0" customHeight="1">
      <c r="A58" s="1346" t="s">
        <v>276</v>
      </c>
      <c s="1346" t="s">
        <v>277</v>
      </c>
      <c s="1346" t="s">
        <v>278</v>
      </c>
      <c s="1346" t="s">
        <v>529</v>
      </c>
      <c s="2262"/>
      <c s="2262"/>
      <c s="2262"/>
      <c s="2262"/>
      <c s="2259"/>
      <c s="1346"/>
      <c s="1346"/>
      <c s="1349"/>
      <c s="513"/>
      <c s="513"/>
      <c s="513"/>
      <c s="2260"/>
      <c s="1484"/>
      <c s="359"/>
      <c s="1389"/>
      <c s="1390"/>
      <c s="1391"/>
      <c s="1391"/>
      <c s="1391"/>
      <c s="1391"/>
      <c s="1391"/>
      <c s="1391"/>
      <c s="1391"/>
      <c s="1391"/>
      <c s="1391"/>
      <c s="1391"/>
      <c s="1391"/>
      <c s="1391"/>
      <c s="1391"/>
      <c s="1391"/>
      <c s="1391"/>
      <c s="1391"/>
      <c s="1391"/>
      <c s="1391"/>
      <c s="1391"/>
      <c s="1391"/>
      <c s="1391"/>
      <c s="1391"/>
      <c s="1391"/>
      <c s="1391"/>
      <c s="1391"/>
      <c s="1391"/>
      <c s="1391"/>
      <c s="1391"/>
      <c s="1391"/>
      <c s="1391"/>
      <c s="1391"/>
      <c s="1391"/>
      <c s="1391"/>
      <c s="1391"/>
      <c s="1392"/>
      <c r="BE58" s="503"/>
      <c s="503" t="str">
        <f>IF(T58="","",T58)</f>
        <v/>
      </c>
      <c s="503"/>
      <c s="503"/>
      <c s="514">
        <v>0</v>
      </c>
    </row>
    <row r="59" spans="1:61" s="1645" customFormat="1" ht="0" customHeight="1">
      <c r="A59" s="1346" t="s">
        <v>276</v>
      </c>
      <c s="1346" t="s">
        <v>277</v>
      </c>
      <c s="1346" t="s">
        <v>278</v>
      </c>
      <c s="1346" t="s">
        <v>529</v>
      </c>
      <c s="2262"/>
      <c s="2262"/>
      <c s="2262"/>
      <c s="2261"/>
      <c s="1346"/>
      <c s="1346"/>
      <c s="1346"/>
      <c s="1349"/>
      <c s="1318"/>
      <c s="1318"/>
      <c s="521"/>
      <c s="383"/>
      <c s="1347"/>
      <c s="1404"/>
      <c s="1389"/>
      <c s="1390"/>
      <c s="1391"/>
      <c s="1391"/>
      <c s="1391"/>
      <c s="1391"/>
      <c s="1391"/>
      <c s="1391"/>
      <c s="1391"/>
      <c s="1391"/>
      <c s="1391"/>
      <c s="1391"/>
      <c s="1391"/>
      <c s="1391"/>
      <c s="1391"/>
      <c s="1391"/>
      <c s="1391"/>
      <c s="1391"/>
      <c s="1391"/>
      <c s="1391"/>
      <c s="1391"/>
      <c s="1391"/>
      <c s="1391"/>
      <c s="1391"/>
      <c s="1391"/>
      <c s="1391"/>
      <c s="1391"/>
      <c s="1391"/>
      <c s="1391"/>
      <c s="1391"/>
      <c s="1391"/>
      <c s="1391"/>
      <c s="1391"/>
      <c s="1391"/>
      <c s="1391"/>
      <c s="1391"/>
      <c s="1392"/>
      <c r="BE59" s="503"/>
      <c s="503" t="str">
        <f>IF(T59="","",T59)</f>
        <v/>
      </c>
      <c s="503"/>
      <c s="503"/>
      <c s="514">
        <v>0</v>
      </c>
    </row>
    <row r="60" spans="1:61" s="1645" customFormat="1" ht="0" customHeight="1">
      <c r="A60" s="1346" t="s">
        <v>276</v>
      </c>
      <c s="1346" t="s">
        <v>277</v>
      </c>
      <c s="1346" t="s">
        <v>278</v>
      </c>
      <c s="1317"/>
      <c s="2262"/>
      <c s="2262"/>
      <c s="2261"/>
      <c s="1317"/>
      <c s="1317"/>
      <c s="1317"/>
      <c s="1317"/>
      <c s="1497"/>
      <c s="1318"/>
      <c s="1318"/>
      <c r="P60" s="1319"/>
      <c s="1320"/>
      <c s="1319"/>
      <c s="1325"/>
      <c s="1328"/>
      <c s="1327"/>
      <c s="1327"/>
      <c s="1327"/>
      <c s="1327"/>
      <c s="1327"/>
      <c s="1327"/>
      <c s="1327"/>
      <c s="1327"/>
      <c s="1327"/>
      <c s="1327"/>
      <c s="1327"/>
      <c s="1327"/>
      <c s="1327"/>
      <c s="1327"/>
      <c s="1327"/>
      <c s="1327"/>
      <c s="1327"/>
      <c s="1327"/>
      <c s="1327"/>
      <c s="1327"/>
      <c s="1327"/>
      <c s="1327"/>
      <c s="1327"/>
      <c s="1327"/>
      <c s="1327"/>
      <c s="1327"/>
      <c s="1327"/>
      <c s="1327"/>
      <c s="1327"/>
      <c s="1327"/>
      <c s="1327"/>
      <c s="1327"/>
      <c s="1327"/>
      <c s="1327"/>
      <c s="1327"/>
      <c r="BE60" s="792"/>
      <c s="792" t="str">
        <f>IF(T60="","",T60)</f>
        <v/>
      </c>
      <c s="792"/>
      <c s="792"/>
      <c s="521">
        <v>0</v>
      </c>
    </row>
    <row r="61" spans="1:61" s="1645" customFormat="1" ht="0" customHeight="1">
      <c r="A61" s="1346" t="s">
        <v>276</v>
      </c>
      <c s="1346" t="s">
        <v>277</v>
      </c>
      <c s="1317"/>
      <c s="1317"/>
      <c s="2262"/>
      <c s="2261"/>
      <c s="1317"/>
      <c s="1317"/>
      <c s="1317"/>
      <c s="1317"/>
      <c s="1317"/>
      <c s="1497"/>
      <c s="1324"/>
      <c s="1324"/>
      <c r="P61" s="1319"/>
      <c s="1320"/>
      <c s="1319"/>
      <c s="1325"/>
      <c s="1328" t="s">
        <v>415</v>
      </c>
      <c s="1327"/>
      <c s="1327"/>
      <c s="1327"/>
      <c s="1327"/>
      <c s="1327"/>
      <c s="1327"/>
      <c s="1327"/>
      <c s="1327"/>
      <c s="1327"/>
      <c s="1327"/>
      <c s="1327"/>
      <c s="1327"/>
      <c s="1327"/>
      <c s="1327"/>
      <c s="1327"/>
      <c s="1327"/>
      <c s="1327"/>
      <c s="1327"/>
      <c s="1327"/>
      <c s="1327"/>
      <c s="1327"/>
      <c s="1327"/>
      <c s="1327"/>
      <c s="1327"/>
      <c s="1327"/>
      <c s="1327"/>
      <c s="1327"/>
      <c s="1327"/>
      <c s="1327"/>
      <c s="1327"/>
      <c s="1327"/>
      <c s="1327"/>
      <c s="1327"/>
      <c s="1327"/>
      <c s="1327"/>
      <c r="BE61" s="792"/>
      <c s="792" t="str">
        <f>IF(T61="","",T61)</f>
        <v>Добавить централизованную систему для дифференциации</v>
      </c>
      <c s="792"/>
      <c s="792"/>
      <c s="521">
        <v>0</v>
      </c>
    </row>
    <row r="62" spans="1:61" s="1645" customFormat="1" ht="0" customHeight="1">
      <c r="A62" s="1346" t="s">
        <v>276</v>
      </c>
      <c s="1346"/>
      <c s="1346"/>
      <c s="1346"/>
      <c s="2261"/>
      <c s="1346"/>
      <c s="1346"/>
      <c s="1346"/>
      <c s="1346"/>
      <c s="1346"/>
      <c s="1346"/>
      <c s="1349"/>
      <c s="1324"/>
      <c s="1324"/>
      <c s="521"/>
      <c s="383"/>
      <c s="1347"/>
      <c s="383"/>
      <c s="1325"/>
      <c s="1328" t="s">
        <v>416</v>
      </c>
      <c s="1327"/>
      <c s="1327"/>
      <c s="1327"/>
      <c s="1327"/>
      <c s="1327"/>
      <c s="1327"/>
      <c s="1327"/>
      <c s="1327"/>
      <c s="1327"/>
      <c s="1327"/>
      <c s="1327"/>
      <c s="1327"/>
      <c s="1327"/>
      <c s="1327"/>
      <c s="1327"/>
      <c s="1327"/>
      <c s="1327"/>
      <c s="1327"/>
      <c s="1327"/>
      <c s="1327"/>
      <c s="1327"/>
      <c s="1327"/>
      <c s="1327"/>
      <c s="1327"/>
      <c s="1327"/>
      <c s="1327"/>
      <c s="1327"/>
      <c s="1327"/>
      <c s="1327"/>
      <c s="1327"/>
      <c s="1327"/>
      <c s="1327"/>
      <c s="1327"/>
      <c s="1327"/>
      <c s="1327"/>
      <c r="BE62" s="503"/>
      <c s="503" t="str">
        <f>IF(T62="","",T62)</f>
        <v>Добавить территорию для дифференциации</v>
      </c>
      <c s="503"/>
      <c s="503"/>
      <c s="514">
        <v>0</v>
      </c>
    </row>
    <row r="63" spans="1:61" s="1645" customFormat="1" ht="0" customHeight="1">
      <c r="A63" s="1317"/>
      <c s="1317"/>
      <c s="1317"/>
      <c s="1317"/>
      <c s="1346"/>
      <c s="1317"/>
      <c s="1317"/>
      <c s="1317"/>
      <c s="1317"/>
      <c s="1317"/>
      <c s="1317"/>
      <c s="1497"/>
      <c s="1324"/>
      <c s="1324"/>
      <c r="P63" s="1319"/>
      <c s="1320"/>
      <c s="1319"/>
      <c s="1325"/>
      <c s="1328" t="s">
        <v>448</v>
      </c>
      <c s="1327"/>
      <c s="1327"/>
      <c s="1327"/>
      <c s="1327"/>
      <c s="1327"/>
      <c s="1327"/>
      <c s="1327"/>
      <c s="1327"/>
      <c s="1327"/>
      <c s="1327"/>
      <c s="1327"/>
      <c s="1327"/>
      <c s="1327"/>
      <c s="1327"/>
      <c s="1327"/>
      <c s="1327"/>
      <c s="1327"/>
      <c s="1327"/>
      <c s="1327"/>
      <c s="1327"/>
      <c s="1327"/>
      <c s="1327"/>
      <c s="1327"/>
      <c s="1327"/>
      <c s="1327"/>
      <c s="1327"/>
      <c s="1327"/>
      <c s="1327"/>
      <c s="1327"/>
      <c s="1327"/>
      <c s="1327"/>
      <c s="1327"/>
      <c s="1327"/>
      <c s="1327"/>
      <c s="1327"/>
      <c r="BE63" s="792"/>
      <c s="792" t="str">
        <f>IF(T63="","",T63)</f>
        <v>Добавить наименование тарифа</v>
      </c>
      <c s="792"/>
      <c s="792"/>
      <c s="521">
        <v>0</v>
      </c>
    </row>
    <row r="64" spans="13:19 56:61" ht="11.55" customHeight="1">
      <c r="M64" s="1163"/>
      <c s="1163"/>
      <c s="540"/>
      <c s="1163"/>
      <c s="1163"/>
      <c s="1158"/>
      <c s="1158"/>
      <c r="BD64" s="1158"/>
      <c s="1158"/>
      <c s="1158"/>
      <c s="1158"/>
      <c s="1158"/>
      <c s="1158">
        <v>11</v>
      </c>
    </row>
    <row r="65" spans="15:61" ht="14.7" customHeight="1">
      <c r="O65" s="540"/>
      <c r="S65" s="1256"/>
      <c s="2288"/>
      <c s="2288"/>
      <c s="2288"/>
      <c s="2288"/>
      <c s="2288"/>
      <c s="2288"/>
      <c s="2288"/>
      <c s="2288"/>
      <c s="2288"/>
      <c s="2288"/>
      <c s="2288"/>
      <c s="2288"/>
      <c s="2288"/>
      <c s="2288"/>
      <c s="2288"/>
      <c s="2288"/>
      <c s="2288"/>
      <c s="2288"/>
      <c s="2288"/>
      <c s="2288"/>
      <c s="2288"/>
      <c s="2288"/>
      <c s="2288"/>
      <c s="2288"/>
      <c s="2288"/>
      <c s="2288"/>
      <c s="2288"/>
      <c s="2288"/>
      <c s="2288"/>
      <c s="2288"/>
      <c s="2288"/>
      <c s="2288"/>
      <c s="2288"/>
      <c s="2288"/>
      <c s="2288"/>
      <c s="2288"/>
      <c r="BI65" s="1158">
        <v>14</v>
      </c>
    </row>
    <row r="66" spans="15:61" ht="14.7" customHeight="1">
      <c r="O66" s="540"/>
      <c r="T66" s="1483"/>
      <c s="1483"/>
      <c s="1483"/>
      <c s="1483"/>
      <c s="1483"/>
      <c s="1483"/>
      <c s="1483"/>
      <c s="1483"/>
      <c s="1483"/>
      <c s="1483"/>
      <c s="1483"/>
      <c s="1483"/>
      <c s="1483"/>
      <c s="1483"/>
      <c s="1483"/>
      <c s="1483"/>
      <c s="1483"/>
      <c s="1483"/>
      <c s="1483"/>
      <c s="1483"/>
      <c s="1483"/>
      <c s="1483"/>
      <c s="1483"/>
      <c s="1483"/>
      <c s="1483"/>
      <c s="1483"/>
      <c s="1483"/>
      <c s="1483"/>
      <c s="1483"/>
      <c s="1483"/>
      <c s="1483"/>
      <c s="1483"/>
      <c s="1483"/>
      <c s="1483"/>
      <c s="1483"/>
      <c s="1483"/>
      <c r="BI66" s="1158">
        <v>14</v>
      </c>
    </row>
    <row r="67" spans="15:61" ht="14.7" customHeight="1">
      <c r="O67" s="540"/>
      <c r="S67" s="1256"/>
      <c s="2288"/>
      <c s="2288"/>
      <c s="2288"/>
      <c s="2288"/>
      <c s="2288"/>
      <c s="2288"/>
      <c s="2288"/>
      <c s="2288"/>
      <c s="2288"/>
      <c s="2288"/>
      <c s="2288"/>
      <c s="2288"/>
      <c s="2288"/>
      <c s="2288"/>
      <c s="2288"/>
      <c s="2288"/>
      <c s="2288"/>
      <c s="2288"/>
      <c s="2288"/>
      <c s="2288"/>
      <c s="2288"/>
      <c s="2288"/>
      <c s="2288"/>
      <c s="2288"/>
      <c s="2288"/>
      <c s="2288"/>
      <c s="2288"/>
      <c s="2288"/>
      <c s="2288"/>
      <c s="2288"/>
      <c s="2288"/>
      <c s="2288"/>
      <c s="2288"/>
      <c s="2288"/>
      <c s="2288"/>
      <c s="2288"/>
      <c r="BI67" s="1158">
        <v>14</v>
      </c>
    </row>
    <row r="68" spans="15:15 61:61" ht="14.7" customHeight="1">
      <c r="O68" s="540"/>
      <c r="BI68" s="1158">
        <v>14</v>
      </c>
    </row>
    <row r="69" spans="1:61" ht="14.25" customHeight="1" hidden="1">
      <c r="A69" s="1163" t="s">
        <v>81</v>
      </c>
      <c s="1163">
        <v>0</v>
      </c>
      <c s="1163">
        <v>0</v>
      </c>
      <c s="1163">
        <v>0</v>
      </c>
      <c s="1163">
        <v>0</v>
      </c>
      <c s="1163">
        <v>0</v>
      </c>
      <c s="1163">
        <v>0</v>
      </c>
      <c s="1163">
        <v>0</v>
      </c>
      <c s="1163">
        <v>0</v>
      </c>
      <c s="1163">
        <v>0</v>
      </c>
      <c s="1163">
        <v>0</v>
      </c>
      <c s="1481">
        <v>0</v>
      </c>
      <c s="1365">
        <v>0</v>
      </c>
      <c s="1365">
        <v>0</v>
      </c>
      <c s="1365">
        <v>0</v>
      </c>
      <c s="1365">
        <v>0</v>
      </c>
      <c s="1374">
        <v>0</v>
      </c>
      <c s="347">
        <v>3</v>
      </c>
      <c s="584">
        <v>12</v>
      </c>
      <c s="1158">
        <v>31</v>
      </c>
      <c s="1158">
        <v>0</v>
      </c>
      <c s="1158">
        <v>0</v>
      </c>
      <c s="1158">
        <v>0</v>
      </c>
      <c s="1158">
        <v>0</v>
      </c>
      <c s="1158">
        <v>0</v>
      </c>
      <c s="1158">
        <v>0</v>
      </c>
      <c s="1158">
        <v>0</v>
      </c>
      <c s="1158">
        <v>0</v>
      </c>
      <c s="1158">
        <v>0</v>
      </c>
      <c s="1158">
        <v>3</v>
      </c>
      <c s="1158">
        <v>3</v>
      </c>
      <c s="1158">
        <v>3</v>
      </c>
      <c s="1158">
        <v>24</v>
      </c>
      <c s="1158">
        <v>3</v>
      </c>
      <c s="1158">
        <v>3</v>
      </c>
      <c s="1158">
        <v>3</v>
      </c>
      <c s="1158">
        <v>24</v>
      </c>
      <c s="1158">
        <v>3</v>
      </c>
      <c s="1158">
        <v>3</v>
      </c>
      <c s="1158">
        <v>3</v>
      </c>
      <c s="1158">
        <v>18</v>
      </c>
      <c s="1158">
        <v>3</v>
      </c>
      <c s="1158">
        <v>3</v>
      </c>
      <c s="1158">
        <v>3</v>
      </c>
      <c s="1158">
        <v>18</v>
      </c>
      <c s="1158">
        <v>21</v>
      </c>
      <c s="1158">
        <v>21</v>
      </c>
      <c s="1158">
        <v>21</v>
      </c>
      <c s="1158">
        <v>21</v>
      </c>
      <c s="1158">
        <v>11</v>
      </c>
      <c s="1158">
        <v>3</v>
      </c>
      <c s="1158">
        <v>11</v>
      </c>
      <c s="1158">
        <v>0</v>
      </c>
      <c s="1158">
        <v>4</v>
      </c>
      <c s="1158">
        <v>115</v>
      </c>
      <c s="514">
        <v>10</v>
      </c>
      <c s="514">
        <v>10</v>
      </c>
      <c s="514">
        <v>10</v>
      </c>
      <c s="514">
        <v>10</v>
      </c>
      <c s="514">
        <v>10</v>
      </c>
      <c s="1158">
        <v>23</v>
      </c>
    </row>
  </sheetData>
  <sheetProtection formatColumns="0" formatRows="0" insertRows="0" deleteColumns="0" deleteRows="0" sort="0" autoFilter="0"/>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prompt="Выберите значение из списка" errorTitle="Ошибка" error="Выберите значение из списка" sqref="V65588:BB65588 V983092:BB983092 V917556:BB917556 V852020:BB852020 V786484:BB786484 V720948:BB720948 V655412:BB655412 V589876:BB589876 V524340:BB524340 V458804:BB458804 V393268:BB393268 V327732:BB327732 V262196:BB262196 V196660:BB196660 V131124:BB131124">
      <formula1>kind_of_cons</formula1>
    </dataValidation>
    <dataValidation type="decimal" allowBlank="1" showErrorMessage="1" errorTitle="Ошибка" error="Допускается ввод только действительных чисел!" sqref="AG8:AG11 AO52:AO53 AO8:AO9 AG52:AG55">
      <formula1>-0999999999999999000000000</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8 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T8:T12 BC65583:BC65590 BC131119:BC131126 BC196655:BC196662 BC262191:BC262198 BC327727:BC327734 BC393263:BC393270 BC458799:BC458806 BC524335:BC524342 BC589871:BC589878 BC655407:BC655414 BC720943:BC720950 BC786479:BC786486 BC852015:BC852022 BC917551:BC917558 BC983087:BC983094 AS8 AS52 T52:T56">
      <formula1>900</formula1>
    </dataValidation>
    <dataValidation allowBlank="1" promptTitle="checkPeriodRange" sqref="W12 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8 Z65589 Z131125 Z196661 Z262197 Z327733 Z393269 Z458805 Z524341 Z589877 Z655413 Z720949 Z786485 Z852021 Z917557 Z983093 AB65589 AB131125 AB196661 AB262197 AB327733 AB393269 AB458805 AB524341 AB589877 AB655413 AB720949 AB786485 AB852021 AB917557 AB983093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65587:AS65587 AD917555:AS917555 AD983091:AS983091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 right="0.7" top="0.75" bottom="0.75" header="0.3" footer="0.3"/>
  <pageSetup orientation="portrait" paperSize="9"/>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m="http://schemas.microsoft.com/office/excel/2006/main" xmlns:x14ac="http://schemas.microsoft.com/office/spreadsheetml/2009/9/ac" xmlns:xr="http://schemas.microsoft.com/office/spreadsheetml/2014/revision" xmlns:xr2="http://schemas.microsoft.com/office/spreadsheetml/2015/revision2" xmlns:xr3="http://schemas.microsoft.com/office/spreadsheetml/2016/revision3" xr:uid="{2B164E18-C666-212D-C655-84120E0D63A8}" mc:Ignorable="x14ac xr xr2 xr3">
  <sheetPr>
    <tabColor theme="6" tint="0.400000005960464"/>
  </sheetPr>
  <dimension ref="A1:AY59"/>
  <sheetViews>
    <sheetView showGridLines="0" zoomScale="90" zoomScaleNormal="90" workbookViewId="0" topLeftCell="A1">
      <pane xSplit="32" ySplit="41" topLeftCell="AG42" activePane="bottomRight" state="frozen"/>
      <selection pane="topLeft" activeCell="A1" sqref="A1"/>
      <selection pane="bottomLeft" activeCell="A42" sqref="A42"/>
      <selection pane="topRight" activeCell="AG1" sqref="AG1"/>
      <selection pane="bottomRight" activeCell="A1" sqref="A1"/>
    </sheetView>
  </sheetViews>
  <sheetFormatPr defaultColWidth="10.5742857142857" defaultRowHeight="14.25" customHeight="1"/>
  <cols>
    <col min="1" max="1" width="10.5714285714286" style="1369" hidden="1"/>
    <col min="2" max="2" width="11" style="1369" hidden="1" customWidth="1"/>
    <col min="3" max="3" width="10.5714285714286" style="1369" hidden="1"/>
    <col min="4" max="4" width="11.8571428571429" style="1369" hidden="1" customWidth="1"/>
    <col min="5" max="5" width="10" style="1369" hidden="1" customWidth="1"/>
    <col min="6" max="6" width="8.71428571428571" style="1369" hidden="1" customWidth="1"/>
    <col min="7" max="7" width="7.57142857142857" style="1369" hidden="1" customWidth="1"/>
    <col min="8" max="8" width="11.4285714285714" style="1369" hidden="1" customWidth="1"/>
    <col min="9" max="9" width="14.1428571428571" style="1369" hidden="1" customWidth="1"/>
    <col min="10" max="10" width="9.85714285714286" style="1369" hidden="1" customWidth="1"/>
    <col min="11" max="11" width="14.7142857142857" style="1369" hidden="1" customWidth="1"/>
    <col min="12" max="12" width="19.1428571428571" style="2610" hidden="1" customWidth="1"/>
    <col min="13" max="14" width="12.2857142857143" style="1779" hidden="1" customWidth="1"/>
    <col min="15" max="15" width="23.4285714285714" style="1779" hidden="1" customWidth="1"/>
    <col min="16" max="16" width="3" style="2400" customWidth="1"/>
    <col min="17" max="18" width="3" style="347" customWidth="1"/>
    <col min="19" max="19" width="12" style="2410" customWidth="1"/>
    <col min="20" max="20" width="35" style="1638" customWidth="1"/>
    <col min="21" max="21" width="0.142857142857143" style="1638" customWidth="1"/>
    <col min="22" max="28" width="19.7142857142857" style="1638" hidden="1" customWidth="1"/>
    <col min="29" max="29" width="11.7142857142857" style="1638" hidden="1" customWidth="1"/>
    <col min="30" max="30" width="3.71428571428571" style="1638" hidden="1" customWidth="1"/>
    <col min="31" max="31" width="11.7142857142857" style="1638" hidden="1" customWidth="1"/>
    <col min="32" max="32" width="8.57142857142857" style="1638" hidden="1" customWidth="1"/>
    <col min="33" max="33" width="19.7142857142857" style="1638" customWidth="1"/>
    <col min="34" max="39" width="19" style="1638" customWidth="1"/>
    <col min="40" max="40" width="11" style="1638" customWidth="1"/>
    <col min="41" max="41" width="3.71428571428571" style="1638" customWidth="1"/>
    <col min="42" max="42" width="11" style="1638" customWidth="1"/>
    <col min="43" max="43" width="8.57142857142857" style="1638" hidden="1" customWidth="1"/>
    <col min="44" max="44" width="4" style="1638" customWidth="1"/>
    <col min="45" max="45" width="115" style="1638" customWidth="1"/>
    <col min="46" max="50" width="10" style="1645" customWidth="1"/>
    <col min="51" max="51" width="10.5714285714286" style="1638" hidden="1"/>
  </cols>
  <sheetData>
    <row r="1" spans="29:51" ht="22.5" customHeight="1" hidden="1">
      <c r="AC1" s="330"/>
      <c r="AN1" s="330"/>
      <c r="AY1" s="1158" t="s">
        <v>14</v>
      </c>
    </row>
    <row r="2" spans="1:51" ht="23.25" customHeight="1" hidden="1">
      <c r="A2" s="1366"/>
      <c s="1366"/>
      <c s="1366"/>
      <c s="1366"/>
      <c s="2261">
        <v>1</v>
      </c>
      <c s="1366"/>
      <c s="1366"/>
      <c s="1366"/>
      <c s="1366"/>
      <c s="1366"/>
      <c s="1366"/>
      <c s="1367"/>
      <c s="1368"/>
      <c s="1368"/>
      <c s="1368"/>
      <c s="364"/>
      <c s="363"/>
      <c s="358"/>
      <c s="1496">
        <f>INDEX(PT_DIFFERENTIATION_NUM_NTAR,MATCH(A2,PT_DIFFERENTIATION_NTAR_ID,0))</f>
      </c>
      <c s="301" t="s">
        <v>125</v>
      </c>
      <c s="303"/>
      <c s="2245"/>
      <c s="2246"/>
      <c s="2246"/>
      <c s="2246"/>
      <c s="2246"/>
      <c s="2246"/>
      <c s="2246"/>
      <c s="2246"/>
      <c s="2246"/>
      <c s="2246"/>
      <c s="2247"/>
      <c s="2245">
        <f>INDEX(PT_DIFFERENTIATION_NTAR,MATCH(A2,PT_DIFFERENTIATION_NTAR_ID,0))</f>
      </c>
      <c s="2246"/>
      <c s="2246"/>
      <c s="2246"/>
      <c s="2246"/>
      <c s="2246"/>
      <c s="2246"/>
      <c s="2246"/>
      <c s="2246"/>
      <c s="2246"/>
      <c s="2246"/>
      <c s="2247"/>
      <c s="126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2" s="503"/>
      <c s="503" t="str">
        <f>IF(T2="","",T2)</f>
        <v>Наименование тарифа</v>
      </c>
      <c s="503"/>
      <c s="503"/>
      <c s="1158">
        <v>0</v>
      </c>
    </row>
    <row r="3" spans="1:51" ht="23.25" customHeight="1" hidden="1">
      <c r="A3" s="1366"/>
      <c s="1366"/>
      <c s="1366"/>
      <c s="1366"/>
      <c s="2262"/>
      <c s="2261">
        <v>1</v>
      </c>
      <c s="1366"/>
      <c s="1366"/>
      <c s="1366"/>
      <c s="1366"/>
      <c s="1366"/>
      <c s="1367"/>
      <c s="1368"/>
      <c s="1368"/>
      <c s="1368"/>
      <c s="1490"/>
      <c s="355"/>
      <c s="356"/>
      <c s="1496">
        <f>INDEX(PT_DIFFERENTIATION_NUM_TER,MATCH(B3,PT_DIFFERENTIATION_TER_ID,0))</f>
      </c>
      <c s="311" t="s">
        <v>397</v>
      </c>
      <c s="303"/>
      <c s="2245"/>
      <c s="2246"/>
      <c s="2246"/>
      <c s="2246"/>
      <c s="2246"/>
      <c s="2246"/>
      <c s="2246"/>
      <c s="2246"/>
      <c s="2246"/>
      <c s="2246"/>
      <c s="2247"/>
      <c s="2245">
        <f>INDEX(PT_DIFFERENTIATION_TER,MATCH(B3,PT_DIFFERENTIATION_TER_ID,0))</f>
      </c>
      <c s="2246"/>
      <c s="2246"/>
      <c s="2246"/>
      <c s="2246"/>
      <c s="2246"/>
      <c s="2246"/>
      <c s="2246"/>
      <c s="2246"/>
      <c s="2246"/>
      <c s="2246"/>
      <c s="2247"/>
      <c s="1261" t="s">
        <v>398</v>
      </c>
      <c r="AU3" s="503"/>
      <c s="503" t="str">
        <f>IF(T3="","",T3)</f>
        <v>Территория действия тарифа</v>
      </c>
      <c s="503"/>
      <c s="503"/>
      <c s="1158">
        <v>0</v>
      </c>
    </row>
    <row r="4" spans="1:51" ht="23.25" customHeight="1" hidden="1">
      <c r="A4" s="1366"/>
      <c s="1366"/>
      <c s="1366"/>
      <c s="1366"/>
      <c s="2262"/>
      <c s="2262"/>
      <c s="2261">
        <v>1</v>
      </c>
      <c s="1366"/>
      <c s="1366"/>
      <c s="1366"/>
      <c s="1366"/>
      <c s="1367"/>
      <c s="1368"/>
      <c s="1368"/>
      <c s="1368"/>
      <c s="357"/>
      <c s="355"/>
      <c s="356"/>
      <c s="1496">
        <f>INDEX(PT_DIFFERENTIATION_NUM_CS,MATCH(C4,PT_DIFFERENTIATION_CS_ID,0))</f>
      </c>
      <c s="312" t="s">
        <v>530</v>
      </c>
      <c s="303"/>
      <c s="2245"/>
      <c s="2246"/>
      <c s="2246"/>
      <c s="2246"/>
      <c s="2246"/>
      <c s="2246"/>
      <c s="2246"/>
      <c s="2246"/>
      <c s="2246"/>
      <c s="2246"/>
      <c s="2247"/>
      <c s="2245">
        <f>INDEX(PT_DIFFERENTIATION_CS,MATCH(C4,PT_DIFFERENTIATION_CS_ID,0))</f>
      </c>
      <c s="2246"/>
      <c s="2246"/>
      <c s="2246"/>
      <c s="2246"/>
      <c s="2246"/>
      <c s="2246"/>
      <c s="2246"/>
      <c s="2246"/>
      <c s="2246"/>
      <c s="2246"/>
      <c s="2247"/>
      <c s="1261" t="s">
        <v>531</v>
      </c>
      <c r="AU4" s="503"/>
      <c s="503" t="str">
        <f>IF(T4="","",T4)</f>
        <v>Наименование централизованной системы горячего водоснабжения</v>
      </c>
      <c s="503"/>
      <c s="503"/>
      <c s="1158">
        <v>0</v>
      </c>
    </row>
    <row r="5" spans="1:51" ht="23.25" customHeight="1" hidden="1">
      <c r="A5" s="1366"/>
      <c s="1366"/>
      <c s="1366"/>
      <c s="1366"/>
      <c s="2262"/>
      <c s="2262"/>
      <c s="2262"/>
      <c s="2262"/>
      <c s="2259">
        <f>S4&amp;".1"</f>
      </c>
      <c s="1366"/>
      <c s="1366"/>
      <c s="1367"/>
      <c r="P5" s="2260">
        <v>1</v>
      </c>
      <c s="1484"/>
      <c s="359"/>
      <c s="1496">
        <f>$I5</f>
      </c>
      <c s="288" t="s">
        <v>483</v>
      </c>
      <c s="303"/>
      <c s="2353"/>
      <c s="2354"/>
      <c s="2354"/>
      <c s="2354"/>
      <c s="2354"/>
      <c s="2354"/>
      <c s="2354"/>
      <c s="2354"/>
      <c s="2354"/>
      <c s="2354"/>
      <c s="2355"/>
      <c s="2356"/>
      <c s="2357"/>
      <c s="2357"/>
      <c s="2357"/>
      <c s="2357"/>
      <c s="2357"/>
      <c s="2357"/>
      <c s="2357"/>
      <c s="2357"/>
      <c s="2357"/>
      <c s="2357"/>
      <c s="2358"/>
      <c s="1261" t="s">
        <v>484</v>
      </c>
      <c r="AU5" s="503"/>
      <c s="503" t="str">
        <f>IF(T5="","",T5)</f>
        <v>Наименование признака дифференциации</v>
      </c>
      <c s="503"/>
      <c s="503"/>
      <c s="1158">
        <v>0</v>
      </c>
    </row>
    <row r="6" spans="1:51" ht="23.25" customHeight="1" hidden="1">
      <c r="A6" s="1366"/>
      <c s="1366"/>
      <c s="1366"/>
      <c s="1366"/>
      <c s="2262"/>
      <c s="2262"/>
      <c s="2262"/>
      <c s="2262"/>
      <c s="2289"/>
      <c s="2259">
        <f>I5&amp;".1"</f>
      </c>
      <c s="1366"/>
      <c s="1367" t="s">
        <v>406</v>
      </c>
      <c r="P6" s="2260"/>
      <c s="2260">
        <v>1</v>
      </c>
      <c s="360"/>
      <c s="1496">
        <f>$J6</f>
      </c>
      <c s="289" t="s">
        <v>407</v>
      </c>
      <c s="303"/>
      <c s="2248"/>
      <c s="2249"/>
      <c s="2249"/>
      <c s="2249"/>
      <c s="2249"/>
      <c s="2249"/>
      <c s="2249"/>
      <c s="2249"/>
      <c s="2249"/>
      <c s="2249"/>
      <c s="2250"/>
      <c s="2248"/>
      <c s="2249"/>
      <c s="2249"/>
      <c s="2249"/>
      <c s="2249"/>
      <c s="2249"/>
      <c s="2249"/>
      <c s="2249"/>
      <c s="2249"/>
      <c s="2249"/>
      <c s="2249"/>
      <c s="2250"/>
      <c s="1310" t="s">
        <v>485</v>
      </c>
      <c r="AU6" s="503"/>
      <c s="503" t="str">
        <f>IF(T6="","",T6)</f>
        <v>Группа потребителей</v>
      </c>
      <c s="503"/>
      <c s="503"/>
      <c s="1158">
        <v>0</v>
      </c>
    </row>
    <row r="7" spans="1:51" ht="23.25" customHeight="1" hidden="1">
      <c r="A7" s="1366"/>
      <c s="1366"/>
      <c s="1366"/>
      <c s="1366"/>
      <c s="2262"/>
      <c s="2262"/>
      <c s="2262"/>
      <c s="2262"/>
      <c s="2289"/>
      <c s="2289"/>
      <c s="2259">
        <f>J6&amp;".1"</f>
      </c>
      <c s="1367"/>
      <c r="P7" s="2260"/>
      <c s="2260"/>
      <c s="360">
        <v>1</v>
      </c>
      <c s="1496">
        <f>$K7</f>
      </c>
      <c s="1440"/>
      <c s="303"/>
      <c s="754"/>
      <c s="754"/>
      <c s="754"/>
      <c s="754"/>
      <c s="754"/>
      <c s="754"/>
      <c s="754"/>
      <c s="2268"/>
      <c s="2110" t="s">
        <v>65</v>
      </c>
      <c s="2268"/>
      <c s="2110" t="s">
        <v>65</v>
      </c>
      <c s="754"/>
      <c s="754"/>
      <c s="754"/>
      <c s="754"/>
      <c s="754"/>
      <c s="754"/>
      <c s="754"/>
      <c s="2268"/>
      <c s="2110" t="s">
        <v>65</v>
      </c>
      <c s="2290"/>
      <c s="2110" t="s">
        <v>65</v>
      </c>
      <c s="1441"/>
      <c s="235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s="514">
        <f>STRCHECKDATE(V8:AR8)</f>
      </c>
      <c s="503"/>
      <c s="503" t="str">
        <f>IF(T7="","",T7)</f>
        <v/>
      </c>
      <c s="503"/>
      <c s="503"/>
      <c s="1158">
        <v>0</v>
      </c>
    </row>
    <row r="8" spans="1:51" ht="14.25" customHeight="1" hidden="1">
      <c r="A8" s="1366"/>
      <c s="1366"/>
      <c s="1366"/>
      <c s="1366"/>
      <c s="2262"/>
      <c s="2262"/>
      <c s="2262"/>
      <c s="2262"/>
      <c s="2289"/>
      <c s="2289"/>
      <c s="2259"/>
      <c s="1367"/>
      <c r="P8" s="2260"/>
      <c s="2260"/>
      <c s="360"/>
      <c s="1493"/>
      <c s="303"/>
      <c s="303"/>
      <c s="328"/>
      <c s="328"/>
      <c s="328"/>
      <c s="328"/>
      <c s="328"/>
      <c s="328"/>
      <c s="328"/>
      <c s="2269"/>
      <c s="2110"/>
      <c s="2269"/>
      <c s="2110"/>
      <c s="328"/>
      <c s="328"/>
      <c s="328"/>
      <c s="328"/>
      <c s="328"/>
      <c s="328"/>
      <c s="328"/>
      <c s="2269"/>
      <c s="2110"/>
      <c s="2291"/>
      <c s="2110"/>
      <c s="1442"/>
      <c s="2352"/>
      <c r="AU8" s="503"/>
      <c s="503" t="str">
        <f>IF(T8="","",T8)</f>
        <v/>
      </c>
      <c s="503"/>
      <c s="503"/>
      <c s="1158">
        <v>0</v>
      </c>
    </row>
    <row r="9" spans="1:51" ht="21" customHeight="1" hidden="1">
      <c r="A9" s="1366"/>
      <c s="1366"/>
      <c s="1366"/>
      <c s="1366"/>
      <c s="2262"/>
      <c s="2262"/>
      <c s="2262"/>
      <c s="2262"/>
      <c s="2289"/>
      <c s="2259"/>
      <c s="1366"/>
      <c s="1367"/>
      <c r="P9" s="2260"/>
      <c s="2260"/>
      <c s="359"/>
      <c s="1281"/>
      <c s="290" t="s">
        <v>486</v>
      </c>
      <c s="370"/>
      <c s="370"/>
      <c s="603"/>
      <c s="603"/>
      <c s="603"/>
      <c s="603"/>
      <c s="603"/>
      <c s="603"/>
      <c s="370"/>
      <c s="370"/>
      <c s="370"/>
      <c s="370"/>
      <c s="370"/>
      <c s="603"/>
      <c s="603"/>
      <c s="603"/>
      <c s="603"/>
      <c s="603"/>
      <c s="370"/>
      <c s="370"/>
      <c s="370"/>
      <c s="370"/>
      <c s="370"/>
      <c s="370"/>
      <c s="1261" t="s">
        <v>487</v>
      </c>
      <c r="AU9" s="503"/>
      <c s="503" t="str">
        <f>IF(T9="","",T9)</f>
        <v>Добавить значение признака дифференциации</v>
      </c>
      <c s="503"/>
      <c s="503"/>
      <c s="1158">
        <v>0</v>
      </c>
    </row>
    <row r="10" spans="1:51" ht="21" customHeight="1" hidden="1">
      <c r="A10" s="1366"/>
      <c s="1366"/>
      <c s="1366"/>
      <c s="1366"/>
      <c s="2262"/>
      <c s="2262"/>
      <c s="2262"/>
      <c s="2262"/>
      <c s="2259"/>
      <c s="1366"/>
      <c s="1366"/>
      <c s="1367"/>
      <c r="P10" s="2260"/>
      <c s="1484"/>
      <c s="359"/>
      <c s="1281"/>
      <c s="368" t="s">
        <v>412</v>
      </c>
      <c s="370"/>
      <c s="370"/>
      <c s="603"/>
      <c s="603"/>
      <c s="603"/>
      <c s="603"/>
      <c s="603"/>
      <c s="603"/>
      <c s="370"/>
      <c s="370"/>
      <c s="370"/>
      <c s="369"/>
      <c s="370"/>
      <c s="603"/>
      <c s="603"/>
      <c s="603"/>
      <c s="603"/>
      <c s="603"/>
      <c s="370"/>
      <c s="370"/>
      <c s="370"/>
      <c s="370"/>
      <c s="369"/>
      <c s="370"/>
      <c s="1443"/>
      <c r="AU10" s="503"/>
      <c s="503" t="str">
        <f>IF(T10="","",T10)</f>
        <v>Добавить группу потребителей</v>
      </c>
      <c s="503"/>
      <c s="503"/>
      <c s="1158">
        <v>0</v>
      </c>
    </row>
    <row r="11" spans="1:51" ht="21" customHeight="1" hidden="1">
      <c r="A11" s="1366"/>
      <c s="1366"/>
      <c s="1366"/>
      <c s="1366"/>
      <c s="2262"/>
      <c s="2262"/>
      <c s="2262"/>
      <c s="2261"/>
      <c s="1366"/>
      <c s="1366"/>
      <c s="1366"/>
      <c s="1367"/>
      <c s="1368"/>
      <c s="1368"/>
      <c s="540"/>
      <c s="363"/>
      <c s="378"/>
      <c s="358"/>
      <c s="1281"/>
      <c s="375" t="s">
        <v>488</v>
      </c>
      <c s="370"/>
      <c s="370"/>
      <c s="603"/>
      <c s="603"/>
      <c s="603"/>
      <c s="603"/>
      <c s="603"/>
      <c s="603"/>
      <c s="370"/>
      <c s="370"/>
      <c s="370"/>
      <c s="369"/>
      <c s="370"/>
      <c s="603"/>
      <c s="603"/>
      <c s="603"/>
      <c s="603"/>
      <c s="603"/>
      <c s="370"/>
      <c s="370"/>
      <c s="370"/>
      <c s="370"/>
      <c s="369"/>
      <c s="370"/>
      <c s="306"/>
      <c r="AU11" s="503"/>
      <c s="503" t="str">
        <f>IF(T11="","",T11)</f>
        <v>Добавить наименование признака дифференциации</v>
      </c>
      <c s="503"/>
      <c s="503"/>
      <c s="1158">
        <v>0</v>
      </c>
    </row>
    <row r="12" spans="1:51" s="1645" customFormat="1" ht="14.25" customHeight="1" hidden="1">
      <c r="A12" s="1346"/>
      <c s="1346"/>
      <c s="1317"/>
      <c s="1317"/>
      <c s="2262"/>
      <c s="2261"/>
      <c s="1317"/>
      <c s="1317"/>
      <c s="1317"/>
      <c s="1317"/>
      <c s="1317"/>
      <c s="1497"/>
      <c s="1324"/>
      <c s="1324"/>
      <c r="P12" s="1319"/>
      <c s="1320"/>
      <c s="1319"/>
      <c s="1325"/>
      <c s="1328" t="s">
        <v>415</v>
      </c>
      <c s="1327"/>
      <c s="1327"/>
      <c s="1327"/>
      <c s="1327"/>
      <c s="1327"/>
      <c s="1327"/>
      <c s="1327"/>
      <c s="1327"/>
      <c s="1327"/>
      <c s="1327"/>
      <c s="1327"/>
      <c s="1327"/>
      <c s="1327"/>
      <c s="1327"/>
      <c s="1327"/>
      <c s="1327"/>
      <c s="1327"/>
      <c s="1327"/>
      <c s="1327"/>
      <c s="1327"/>
      <c s="1327"/>
      <c s="1327"/>
      <c s="1327"/>
      <c s="1327"/>
      <c s="1327"/>
      <c r="AU12" s="792"/>
      <c s="792" t="str">
        <f>IF(T12="","",T12)</f>
        <v>Добавить централизованную систему для дифференциации</v>
      </c>
      <c s="792"/>
      <c s="792"/>
      <c s="521">
        <v>0</v>
      </c>
    </row>
    <row r="13" spans="1:51" s="1645" customFormat="1" ht="14.25" customHeight="1" hidden="1">
      <c r="A13" s="1346"/>
      <c s="1346"/>
      <c s="1346"/>
      <c s="1346"/>
      <c s="2261"/>
      <c s="1346"/>
      <c s="1346"/>
      <c s="1346"/>
      <c s="1346"/>
      <c s="1346"/>
      <c s="1346"/>
      <c s="1349"/>
      <c s="1324"/>
      <c s="1324"/>
      <c s="521"/>
      <c s="383"/>
      <c s="1347"/>
      <c s="383"/>
      <c s="1325"/>
      <c s="1328" t="s">
        <v>416</v>
      </c>
      <c s="1327"/>
      <c s="1327"/>
      <c s="1327"/>
      <c s="1327"/>
      <c s="1327"/>
      <c s="1327"/>
      <c s="1327"/>
      <c s="1327"/>
      <c s="1327"/>
      <c s="1327"/>
      <c s="1327"/>
      <c s="1327"/>
      <c s="1327"/>
      <c s="1327"/>
      <c s="1327"/>
      <c s="1327"/>
      <c s="1327"/>
      <c s="1327"/>
      <c s="1327"/>
      <c s="1327"/>
      <c s="1327"/>
      <c s="1327"/>
      <c s="1327"/>
      <c s="1327"/>
      <c s="1327"/>
      <c r="AU13" s="503"/>
      <c s="503" t="str">
        <f>IF(T13="","",T13)</f>
        <v>Добавить территорию для дифференциации</v>
      </c>
      <c s="503"/>
      <c s="503"/>
      <c s="514">
        <v>0</v>
      </c>
    </row>
    <row r="14" spans="32:51" ht="14.25" customHeight="1" hidden="1">
      <c r="AF14" s="330"/>
      <c r="AQ14" s="330"/>
      <c r="AY14" s="1158">
        <v>0</v>
      </c>
    </row>
    <row r="15" spans="33:51" ht="14.25" customHeight="1" hidden="1">
      <c r="AG15" s="1363"/>
      <c s="1363"/>
      <c s="1363"/>
      <c s="1363"/>
      <c s="1363"/>
      <c s="1363"/>
      <c s="1363"/>
      <c s="2270"/>
      <c s="2271" t="s">
        <v>65</v>
      </c>
      <c s="2270"/>
      <c s="2271" t="s">
        <v>65</v>
      </c>
      <c r="AY15" s="1158">
        <v>0</v>
      </c>
    </row>
    <row r="16" spans="33:51" ht="14.25" customHeight="1" hidden="1">
      <c r="AG16" s="1363"/>
      <c s="1363"/>
      <c s="1363"/>
      <c s="1363"/>
      <c s="1363"/>
      <c s="1363"/>
      <c s="1363"/>
      <c s="2271"/>
      <c s="2271"/>
      <c s="2271"/>
      <c s="2271"/>
      <c r="AY16" s="1158">
        <v>0</v>
      </c>
    </row>
    <row r="17" spans="43:51" ht="14.25" customHeight="1" hidden="1">
      <c r="AQ17" s="330"/>
      <c r="AY17" s="1158">
        <v>0</v>
      </c>
    </row>
    <row r="18" spans="12:51" s="1369" customFormat="1" ht="22.5" customHeight="1" hidden="1">
      <c r="L18" s="1481"/>
      <c s="1365"/>
      <c s="1365"/>
      <c s="1370" t="s">
        <v>417</v>
      </c>
      <c s="1365"/>
      <c s="1374"/>
      <c s="1374"/>
      <c s="732"/>
      <c r="W18" s="1369"/>
      <c s="1369"/>
      <c s="1369"/>
      <c s="1369"/>
      <c s="1369"/>
      <c s="1369"/>
      <c s="1370"/>
      <c r="AE18" s="1370"/>
      <c s="1369"/>
      <c r="AH18" s="1369"/>
      <c s="1369"/>
      <c s="1369"/>
      <c s="1369"/>
      <c s="1369"/>
      <c r="AN18" s="1370"/>
      <c r="AP18" s="1370"/>
      <c s="1369"/>
      <c r="AT18" s="514"/>
      <c s="514"/>
      <c s="514"/>
      <c s="514"/>
      <c s="514"/>
      <c s="1163">
        <v>0</v>
      </c>
    </row>
    <row r="19" spans="12:51" s="1369" customFormat="1" ht="14.25" customHeight="1" hidden="1">
      <c r="L19" s="1481"/>
      <c s="1365"/>
      <c s="1365"/>
      <c s="1365"/>
      <c s="1365"/>
      <c s="1374"/>
      <c s="1374"/>
      <c s="732"/>
      <c r="W19" s="1369"/>
      <c s="1369"/>
      <c s="1369"/>
      <c s="1369"/>
      <c s="1369"/>
      <c s="1369"/>
      <c r="AF19" s="1369"/>
      <c r="AH19" s="1369"/>
      <c s="1369"/>
      <c s="1369"/>
      <c s="1369"/>
      <c s="1369"/>
      <c r="AQ19" s="1369"/>
      <c r="AT19" s="514"/>
      <c s="514"/>
      <c s="514"/>
      <c s="514"/>
      <c s="514"/>
      <c s="1163">
        <v>0</v>
      </c>
    </row>
    <row r="20" spans="12:51" s="1369" customFormat="1" ht="12" customHeight="1" hidden="1">
      <c r="L20" s="1481"/>
      <c s="1365"/>
      <c s="1365"/>
      <c s="1367" t="s">
        <v>418</v>
      </c>
      <c s="1365"/>
      <c s="1445"/>
      <c s="1445"/>
      <c s="732"/>
      <c s="1163" t="s">
        <v>419</v>
      </c>
      <c r="W20" s="1369"/>
      <c s="1369"/>
      <c s="1369"/>
      <c s="1369"/>
      <c s="1369"/>
      <c s="1369"/>
      <c r="AD20" s="189" t="s">
        <v>420</v>
      </c>
      <c r="AF20" s="189" t="s">
        <v>421</v>
      </c>
      <c s="1163" t="s">
        <v>419</v>
      </c>
      <c s="1369"/>
      <c s="1369"/>
      <c s="1369"/>
      <c s="1369"/>
      <c s="1369"/>
      <c r="AO20" s="189" t="s">
        <v>422</v>
      </c>
      <c r="AQ20" s="189" t="s">
        <v>421</v>
      </c>
      <c r="AY20" s="1163">
        <v>0</v>
      </c>
    </row>
    <row r="21" spans="15:15 51:51" ht="14.25" customHeight="1" hidden="1">
      <c r="O21" s="1367"/>
      <c r="AY21" s="1158">
        <v>0</v>
      </c>
    </row>
    <row r="22" spans="15:15 51:51" ht="14.25" customHeight="1" hidden="1">
      <c r="O22" s="1367"/>
      <c r="AY22" s="1158">
        <v>0</v>
      </c>
    </row>
    <row r="23" spans="17:51" ht="14.7" customHeight="1">
      <c r="Q23" s="379"/>
      <c s="379"/>
      <c s="1278"/>
      <c s="366"/>
      <c s="366"/>
      <c s="512"/>
      <c s="1638"/>
      <c s="1638"/>
      <c s="1638"/>
      <c s="1638"/>
      <c s="1638"/>
      <c s="1638"/>
      <c s="512"/>
      <c s="512"/>
      <c s="512"/>
      <c s="512"/>
      <c s="512"/>
      <c s="1638"/>
      <c s="1638"/>
      <c s="1638"/>
      <c s="1638"/>
      <c s="1638"/>
      <c s="512"/>
      <c s="512"/>
      <c s="512"/>
      <c s="512"/>
      <c s="512"/>
      <c r="AY23" s="1158">
        <v>14</v>
      </c>
    </row>
    <row r="24" spans="17:51" ht="26.25" customHeight="1">
      <c r="Q24" s="379"/>
      <c s="379"/>
      <c s="2251"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s="2251"/>
      <c s="2251"/>
      <c s="2251"/>
      <c s="2251"/>
      <c s="2251"/>
      <c s="2251"/>
      <c s="2251"/>
      <c s="2251"/>
      <c s="2251"/>
      <c s="2251"/>
      <c s="2251"/>
      <c s="2251"/>
      <c s="2251"/>
      <c s="2251"/>
      <c s="2251"/>
      <c s="2251"/>
      <c s="2251"/>
      <c s="2251"/>
      <c s="2251"/>
      <c s="2251"/>
      <c s="2251"/>
      <c s="2251"/>
      <c s="2251"/>
      <c s="1246"/>
      <c r="AY24" s="1158">
        <v>25</v>
      </c>
    </row>
    <row r="25" spans="17:51" ht="14.7" customHeight="1">
      <c r="Q25" s="379"/>
      <c s="379"/>
      <c s="2252" t="str">
        <f>IF(org=0,"Не определено",org)</f>
        <v>ГУП КК "Кубаньводкомплекс"</v>
      </c>
      <c s="2252"/>
      <c s="2252"/>
      <c s="2252"/>
      <c s="2252"/>
      <c s="2252"/>
      <c s="2252"/>
      <c s="2252"/>
      <c s="2252"/>
      <c s="2252"/>
      <c s="2252"/>
      <c s="2252"/>
      <c s="2252"/>
      <c s="2252"/>
      <c s="2252"/>
      <c s="2252"/>
      <c s="2252"/>
      <c s="2252"/>
      <c s="2252"/>
      <c s="2252"/>
      <c s="2252"/>
      <c s="2252"/>
      <c s="2252"/>
      <c s="2252"/>
      <c s="1246"/>
      <c r="AY25" s="1158">
        <v>14</v>
      </c>
    </row>
    <row r="26" spans="17:51" ht="14.25" customHeight="1" hidden="1">
      <c r="Q26" s="379"/>
      <c s="379"/>
      <c s="1278"/>
      <c s="366"/>
      <c s="366"/>
      <c s="325"/>
      <c s="325"/>
      <c s="325"/>
      <c s="325"/>
      <c s="325"/>
      <c s="325"/>
      <c s="325"/>
      <c s="325"/>
      <c s="325"/>
      <c s="325"/>
      <c s="325"/>
      <c s="325"/>
      <c s="325"/>
      <c s="325"/>
      <c s="325"/>
      <c s="325"/>
      <c s="325"/>
      <c s="325"/>
      <c s="325"/>
      <c s="325"/>
      <c s="325"/>
      <c s="325"/>
      <c s="512"/>
      <c r="AY26" s="1158">
        <v>0</v>
      </c>
    </row>
    <row r="27" spans="1:51" s="1856" customFormat="1" ht="25.5" customHeight="1" hidden="1">
      <c r="A27" s="1371"/>
      <c s="1371"/>
      <c s="1371"/>
      <c s="1371"/>
      <c s="1371"/>
      <c s="1371"/>
      <c s="1371"/>
      <c s="1371"/>
      <c s="1371"/>
      <c s="1371"/>
      <c s="1371"/>
      <c s="1372"/>
      <c s="1371"/>
      <c s="1371"/>
      <c s="1371"/>
      <c r="S27" s="2253" t="s">
        <v>42</v>
      </c>
      <c s="2253"/>
      <c s="1375"/>
      <c s="2254" t="str">
        <f>IF(TITLE_NAME_OR_PR_CHANGE="",IF(TITLE_NAME_OR_PR="","",TITLE_NAME_OR_PR),TITLE_NAME_OR_PR_CHANGE)</f>
        <v/>
      </c>
      <c s="2254"/>
      <c s="2254"/>
      <c s="2254"/>
      <c s="2254"/>
      <c s="2254"/>
      <c s="2254"/>
      <c s="2254"/>
      <c s="2254"/>
      <c s="2254"/>
      <c s="329"/>
      <c s="2254" t="str">
        <f>IF(TITLE_NAME_OR_PR_CHANGE="",IF(TITLE_NAME_OR_PR="","",TITLE_NAME_OR_PR),TITLE_NAME_OR_PR_CHANGE)</f>
        <v/>
      </c>
      <c s="2254"/>
      <c s="2254"/>
      <c s="2254"/>
      <c s="2254"/>
      <c s="2254"/>
      <c s="2254"/>
      <c s="2254"/>
      <c s="2254"/>
      <c s="2254"/>
      <c s="329"/>
      <c s="329"/>
      <c s="283"/>
      <c s="371"/>
      <c s="371"/>
      <c s="371"/>
      <c s="371"/>
      <c s="371"/>
      <c s="421">
        <v>0</v>
      </c>
    </row>
    <row r="28" spans="1:51" s="1856" customFormat="1" ht="18.75" customHeight="1" hidden="1">
      <c r="A28" s="1371"/>
      <c s="1371"/>
      <c s="1371"/>
      <c s="1371"/>
      <c s="1371"/>
      <c s="1371"/>
      <c s="1371"/>
      <c s="1371"/>
      <c s="1371"/>
      <c s="1371"/>
      <c s="1371"/>
      <c s="1372"/>
      <c s="1371"/>
      <c s="1371"/>
      <c s="1371"/>
      <c r="S28" s="2253" t="s">
        <v>423</v>
      </c>
      <c s="2253"/>
      <c s="1375"/>
      <c s="2267" t="str">
        <f>IF(TITLE_DATE_PR_CHANGE="",IF(TITLE_DATE_PR="","",TITLE_DATE_PR),TITLE_DATE_PR_CHANGE)</f>
        <v/>
      </c>
      <c s="2267"/>
      <c s="2267"/>
      <c s="2267"/>
      <c s="2267"/>
      <c s="2267"/>
      <c s="2267"/>
      <c s="2267"/>
      <c s="2267"/>
      <c s="2267"/>
      <c s="329"/>
      <c s="2267" t="str">
        <f>IF(TITLE_DATE_PR_CHANGE="",IF(TITLE_DATE_PR="","",TITLE_DATE_PR),TITLE_DATE_PR_CHANGE)</f>
        <v/>
      </c>
      <c s="2267"/>
      <c s="2267"/>
      <c s="2267"/>
      <c s="2267"/>
      <c s="2267"/>
      <c s="2267"/>
      <c s="2267"/>
      <c s="2267"/>
      <c s="2267"/>
      <c s="329"/>
      <c s="329"/>
      <c s="283"/>
      <c s="371"/>
      <c s="371"/>
      <c s="371"/>
      <c s="371"/>
      <c s="371"/>
      <c s="421">
        <v>0</v>
      </c>
    </row>
    <row r="29" spans="1:51" s="1856" customFormat="1" ht="18.75" customHeight="1" hidden="1">
      <c r="A29" s="1371"/>
      <c s="1371"/>
      <c s="1371"/>
      <c s="1371"/>
      <c s="1371"/>
      <c s="1371"/>
      <c s="1371"/>
      <c s="1371"/>
      <c s="1371"/>
      <c s="1371"/>
      <c s="1371"/>
      <c s="1372"/>
      <c s="1371"/>
      <c s="1371"/>
      <c s="1371"/>
      <c r="S29" s="2253" t="s">
        <v>424</v>
      </c>
      <c s="2253"/>
      <c s="1375"/>
      <c s="2254" t="str">
        <f>IF(TITLE_NUMBER_PR_CHANGE="",IF(TITLE_NUMBER_PR="","",TITLE_NUMBER_PR),TITLE_NUMBER_PR_CHANGE)</f>
        <v/>
      </c>
      <c s="2254"/>
      <c s="2254"/>
      <c s="2254"/>
      <c s="2254"/>
      <c s="2254"/>
      <c s="2254"/>
      <c s="2254"/>
      <c s="2254"/>
      <c s="2254"/>
      <c s="329"/>
      <c s="2254" t="str">
        <f>IF(TITLE_NUMBER_PR_CHANGE="",IF(TITLE_NUMBER_PR="","",TITLE_NUMBER_PR),TITLE_NUMBER_PR_CHANGE)</f>
        <v/>
      </c>
      <c s="2254"/>
      <c s="2254"/>
      <c s="2254"/>
      <c s="2254"/>
      <c s="2254"/>
      <c s="2254"/>
      <c s="2254"/>
      <c s="2254"/>
      <c s="2254"/>
      <c s="329"/>
      <c s="329"/>
      <c s="283"/>
      <c s="371"/>
      <c s="371"/>
      <c s="371"/>
      <c s="371"/>
      <c s="371"/>
      <c s="421">
        <v>0</v>
      </c>
    </row>
    <row r="30" spans="1:51" s="1856" customFormat="1" ht="18.75" customHeight="1" hidden="1">
      <c r="A30" s="1371"/>
      <c s="1371"/>
      <c s="1371"/>
      <c s="1371"/>
      <c s="1371"/>
      <c s="1371"/>
      <c s="1371"/>
      <c s="1371"/>
      <c s="1371"/>
      <c s="1371"/>
      <c s="1371"/>
      <c s="1372"/>
      <c s="1371"/>
      <c s="1371"/>
      <c s="1371"/>
      <c r="S30" s="2253" t="s">
        <v>43</v>
      </c>
      <c s="2253"/>
      <c s="1375"/>
      <c s="2254" t="str">
        <f>IF(TITLE_IST_PUB_CHANGE="",IF(TITLE_IST_PUB="","",TITLE_IST_PUB),TITLE_IST_PUB_CHANGE)</f>
        <v/>
      </c>
      <c s="2254"/>
      <c s="2254"/>
      <c s="2254"/>
      <c s="2254"/>
      <c s="2254"/>
      <c s="2254"/>
      <c s="2254"/>
      <c s="2254"/>
      <c s="2254"/>
      <c s="329"/>
      <c s="2254" t="str">
        <f>IF(TITLE_IST_PUB_CHANGE="",IF(TITLE_IST_PUB="","",TITLE_IST_PUB),TITLE_IST_PUB_CHANGE)</f>
        <v/>
      </c>
      <c s="2254"/>
      <c s="2254"/>
      <c s="2254"/>
      <c s="2254"/>
      <c s="2254"/>
      <c s="2254"/>
      <c s="2254"/>
      <c s="2254"/>
      <c s="2254"/>
      <c s="329"/>
      <c s="329"/>
      <c s="283"/>
      <c s="371"/>
      <c s="371"/>
      <c s="371"/>
      <c s="371"/>
      <c s="371"/>
      <c s="421">
        <v>0</v>
      </c>
    </row>
    <row r="31" spans="17:51" ht="14.25" customHeight="1" hidden="1">
      <c r="Q31" s="379"/>
      <c s="379"/>
      <c s="1278"/>
      <c s="366"/>
      <c s="366"/>
      <c s="325"/>
      <c s="325"/>
      <c s="325"/>
      <c s="325"/>
      <c s="325"/>
      <c s="325"/>
      <c s="325"/>
      <c s="325"/>
      <c s="325"/>
      <c s="325"/>
      <c s="325"/>
      <c s="325"/>
      <c s="325"/>
      <c s="325"/>
      <c s="325"/>
      <c s="325"/>
      <c s="325"/>
      <c s="325"/>
      <c s="325"/>
      <c s="325"/>
      <c s="325"/>
      <c s="325"/>
      <c s="512"/>
      <c r="AY31" s="1158">
        <v>0</v>
      </c>
    </row>
    <row r="32" spans="1:51" s="1856" customFormat="1" ht="18.75" customHeight="1" hidden="1">
      <c r="A32" s="1371"/>
      <c s="1371"/>
      <c s="1371"/>
      <c s="1371"/>
      <c s="1371"/>
      <c s="1371"/>
      <c s="1371"/>
      <c s="1371"/>
      <c s="1371"/>
      <c s="1371"/>
      <c s="1371"/>
      <c s="1372"/>
      <c s="1371"/>
      <c s="1371"/>
      <c s="1371"/>
      <c r="S32" s="2253" t="s">
        <v>425</v>
      </c>
      <c s="2253"/>
      <c s="1375"/>
      <c s="2267" t="str">
        <f>IF(TITLE_DATE_PR_CHANGE="",IF(TITLE_DATE_PR="","",TITLE_DATE_PR),TITLE_DATE_PR_CHANGE)</f>
        <v/>
      </c>
      <c s="2267"/>
      <c s="2267"/>
      <c s="2267"/>
      <c s="2267"/>
      <c s="2267"/>
      <c s="2267"/>
      <c s="2267"/>
      <c s="2267"/>
      <c s="2267"/>
      <c s="329"/>
      <c s="2267" t="str">
        <f>IF(TITLE_DATE_PR_CHANGE="",IF(TITLE_DATE_PR="","",TITLE_DATE_PR),TITLE_DATE_PR_CHANGE)</f>
        <v/>
      </c>
      <c s="2267"/>
      <c s="2267"/>
      <c s="2267"/>
      <c s="2267"/>
      <c s="2267"/>
      <c s="2267"/>
      <c s="2267"/>
      <c s="2267"/>
      <c s="2267"/>
      <c s="329"/>
      <c s="329"/>
      <c s="283"/>
      <c s="371"/>
      <c s="371"/>
      <c s="371"/>
      <c s="371"/>
      <c s="371"/>
      <c s="421">
        <v>0</v>
      </c>
    </row>
    <row r="33" spans="1:51" s="1856" customFormat="1" ht="18.75" customHeight="1" hidden="1">
      <c r="A33" s="1371"/>
      <c s="1371"/>
      <c s="1371"/>
      <c s="1371"/>
      <c s="1371"/>
      <c s="1371"/>
      <c s="1371"/>
      <c s="1371"/>
      <c s="1371"/>
      <c s="1371"/>
      <c s="1371"/>
      <c s="1372"/>
      <c s="1371"/>
      <c s="1371"/>
      <c s="1371"/>
      <c r="S33" s="2253" t="s">
        <v>426</v>
      </c>
      <c s="2253"/>
      <c s="1375"/>
      <c s="2254" t="str">
        <f>IF(TITLE_NUMBER_PR_CHANGE="",IF(TITLE_NUMBER_PR="","",TITLE_NUMBER_PR),TITLE_NUMBER_PR_CHANGE)</f>
        <v/>
      </c>
      <c s="2254"/>
      <c s="2254"/>
      <c s="2254"/>
      <c s="2254"/>
      <c s="2254"/>
      <c s="2254"/>
      <c s="2254"/>
      <c s="2254"/>
      <c s="2254"/>
      <c s="329"/>
      <c s="2254" t="str">
        <f>IF(TITLE_NUMBER_PR_CHANGE="",IF(TITLE_NUMBER_PR="","",TITLE_NUMBER_PR),TITLE_NUMBER_PR_CHANGE)</f>
        <v/>
      </c>
      <c s="2254"/>
      <c s="2254"/>
      <c s="2254"/>
      <c s="2254"/>
      <c s="2254"/>
      <c s="2254"/>
      <c s="2254"/>
      <c s="2254"/>
      <c s="2254"/>
      <c s="329"/>
      <c s="329"/>
      <c s="283"/>
      <c s="371"/>
      <c s="371"/>
      <c s="371"/>
      <c s="371"/>
      <c s="371"/>
      <c s="421">
        <v>0</v>
      </c>
    </row>
    <row r="34" spans="1:51" s="1856" customFormat="1" ht="1.05" customHeight="1">
      <c r="A34" s="1371"/>
      <c s="1371"/>
      <c s="1371"/>
      <c s="1371"/>
      <c s="1371"/>
      <c s="1371"/>
      <c s="1371"/>
      <c s="1371"/>
      <c s="1371"/>
      <c s="1371"/>
      <c s="1371"/>
      <c s="1372"/>
      <c s="1371"/>
      <c s="1371"/>
      <c s="1371"/>
      <c r="S34" s="326"/>
      <c s="326"/>
      <c s="1491"/>
      <c s="329"/>
      <c s="1638"/>
      <c s="1638"/>
      <c s="1638"/>
      <c s="1638"/>
      <c s="1638"/>
      <c s="1638"/>
      <c s="329"/>
      <c s="329"/>
      <c s="329"/>
      <c s="281" t="s">
        <v>427</v>
      </c>
      <c s="329"/>
      <c s="1638"/>
      <c s="1638"/>
      <c s="1638"/>
      <c s="1638"/>
      <c s="1638"/>
      <c s="329"/>
      <c s="329"/>
      <c s="329"/>
      <c s="329"/>
      <c s="281" t="s">
        <v>427</v>
      </c>
      <c r="AT34" s="371"/>
      <c s="371"/>
      <c s="371"/>
      <c s="371"/>
      <c s="371"/>
      <c s="421">
        <v>1</v>
      </c>
    </row>
    <row r="35" spans="17:51" ht="14.7" customHeight="1">
      <c r="Q35" s="379"/>
      <c s="379"/>
      <c s="1278"/>
      <c s="366"/>
      <c s="1247"/>
      <c s="2255"/>
      <c s="2255"/>
      <c s="2255"/>
      <c s="2255"/>
      <c s="2255"/>
      <c s="2255"/>
      <c s="2255"/>
      <c s="2255"/>
      <c s="2255"/>
      <c s="2255"/>
      <c s="2255"/>
      <c s="2255"/>
      <c s="2255"/>
      <c s="2255"/>
      <c s="2255"/>
      <c s="2255"/>
      <c s="2255"/>
      <c s="2255"/>
      <c s="2255"/>
      <c s="2255"/>
      <c s="2255"/>
      <c s="2255"/>
      <c r="AY35" s="1158">
        <v>14</v>
      </c>
    </row>
    <row r="36" spans="17:51" ht="14.7" customHeight="1">
      <c r="Q36" s="379"/>
      <c s="379"/>
      <c s="2130" t="s">
        <v>300</v>
      </c>
      <c s="2130"/>
      <c s="2130"/>
      <c s="2130"/>
      <c s="2130"/>
      <c s="2130"/>
      <c s="2130"/>
      <c s="2130"/>
      <c s="2130"/>
      <c s="2130"/>
      <c s="2130"/>
      <c s="2130"/>
      <c s="2130"/>
      <c s="2130"/>
      <c s="2130"/>
      <c s="2130"/>
      <c s="2130"/>
      <c s="2130"/>
      <c s="2130"/>
      <c s="2130"/>
      <c s="2130"/>
      <c s="2130"/>
      <c s="2130"/>
      <c s="2130"/>
      <c s="2130"/>
      <c s="2130"/>
      <c s="2130" t="s">
        <v>301</v>
      </c>
      <c r="AY36" s="1158">
        <v>14</v>
      </c>
    </row>
    <row r="37" spans="17:51" ht="14.7" customHeight="1">
      <c r="Q37" s="379"/>
      <c s="379"/>
      <c s="2276" t="s">
        <v>87</v>
      </c>
      <c s="2212" t="s">
        <v>428</v>
      </c>
      <c s="304"/>
      <c s="2277" t="s">
        <v>429</v>
      </c>
      <c s="2294"/>
      <c s="2294"/>
      <c s="2294"/>
      <c s="2294"/>
      <c s="2294"/>
      <c s="2294"/>
      <c s="2278"/>
      <c s="2278"/>
      <c s="2279"/>
      <c s="2280" t="s">
        <v>430</v>
      </c>
      <c s="2277" t="s">
        <v>429</v>
      </c>
      <c s="2278"/>
      <c s="2278"/>
      <c s="2278"/>
      <c s="2278"/>
      <c s="2278"/>
      <c s="2278"/>
      <c s="2278"/>
      <c s="2278"/>
      <c s="2279"/>
      <c s="2280" t="s">
        <v>431</v>
      </c>
      <c s="2283" t="s">
        <v>432</v>
      </c>
      <c s="2130"/>
      <c r="AY37" s="1158">
        <v>14</v>
      </c>
    </row>
    <row r="38" spans="17:51" ht="19.95" customHeight="1">
      <c r="Q38" s="379"/>
      <c s="379"/>
      <c s="2276"/>
      <c s="2212"/>
      <c s="1034"/>
      <c s="2369" t="s">
        <v>532</v>
      </c>
      <c s="2368" t="s">
        <v>533</v>
      </c>
      <c s="2368"/>
      <c s="2368"/>
      <c s="2368" t="s">
        <v>534</v>
      </c>
      <c s="2368"/>
      <c s="2368"/>
      <c s="2297" t="s">
        <v>436</v>
      </c>
      <c s="2316"/>
      <c s="2317"/>
      <c s="2281"/>
      <c s="2369" t="s">
        <v>532</v>
      </c>
      <c s="2368" t="s">
        <v>533</v>
      </c>
      <c s="2368"/>
      <c s="2368"/>
      <c s="2368" t="s">
        <v>534</v>
      </c>
      <c s="2368"/>
      <c s="2368"/>
      <c s="2297" t="s">
        <v>436</v>
      </c>
      <c s="2316"/>
      <c s="2317"/>
      <c s="2281"/>
      <c s="2284"/>
      <c s="2130"/>
      <c r="AY38" s="1158">
        <v>19</v>
      </c>
    </row>
    <row r="39" spans="1:51" s="1638" customFormat="1" ht="19.95" customHeight="1">
      <c r="A39" s="1369"/>
      <c s="1369"/>
      <c s="1369"/>
      <c s="1369"/>
      <c s="1369"/>
      <c s="1369"/>
      <c s="1369"/>
      <c s="1369"/>
      <c s="1369"/>
      <c s="1369"/>
      <c s="1369"/>
      <c s="1954"/>
      <c s="1365"/>
      <c s="1365"/>
      <c s="1365"/>
      <c s="1968"/>
      <c s="379"/>
      <c s="379"/>
      <c s="2276"/>
      <c s="2212"/>
      <c s="1034"/>
      <c s="2369"/>
      <c s="2368" t="s">
        <v>535</v>
      </c>
      <c s="2368" t="s">
        <v>536</v>
      </c>
      <c s="2368"/>
      <c s="2368" t="s">
        <v>537</v>
      </c>
      <c s="2368" t="s">
        <v>536</v>
      </c>
      <c s="2368"/>
      <c s="2298"/>
      <c s="2318"/>
      <c s="2319"/>
      <c s="2281"/>
      <c s="2369"/>
      <c s="2368" t="s">
        <v>535</v>
      </c>
      <c s="2368" t="s">
        <v>536</v>
      </c>
      <c s="2368"/>
      <c s="2368" t="s">
        <v>537</v>
      </c>
      <c s="2368" t="s">
        <v>536</v>
      </c>
      <c s="2368"/>
      <c s="2298"/>
      <c s="2318"/>
      <c s="2319"/>
      <c s="2281"/>
      <c s="2284"/>
      <c s="2130"/>
      <c s="1639"/>
      <c s="1639"/>
      <c s="1639"/>
      <c s="1639"/>
      <c s="1639"/>
      <c s="1634">
        <v>19</v>
      </c>
    </row>
    <row r="40" spans="1:51" ht="61.95" customHeight="1">
      <c r="A40" s="1373"/>
      <c s="1373" t="s">
        <v>137</v>
      </c>
      <c s="1373" t="s">
        <v>138</v>
      </c>
      <c s="1373" t="s">
        <v>139</v>
      </c>
      <c s="1367" t="s">
        <v>437</v>
      </c>
      <c s="1367" t="s">
        <v>438</v>
      </c>
      <c s="1367" t="s">
        <v>439</v>
      </c>
      <c s="1367"/>
      <c s="1367" t="s">
        <v>490</v>
      </c>
      <c s="1367" t="s">
        <v>442</v>
      </c>
      <c s="1367" t="s">
        <v>491</v>
      </c>
      <c s="1367" t="s">
        <v>418</v>
      </c>
      <c r="Q40" s="379"/>
      <c s="379"/>
      <c s="2276"/>
      <c s="2212"/>
      <c s="305"/>
      <c s="2369"/>
      <c s="2368"/>
      <c s="1986" t="s">
        <v>538</v>
      </c>
      <c s="1986" t="s">
        <v>539</v>
      </c>
      <c s="2368"/>
      <c s="1986" t="s">
        <v>540</v>
      </c>
      <c s="1986" t="s">
        <v>541</v>
      </c>
      <c s="1492" t="s">
        <v>446</v>
      </c>
      <c s="2273" t="s">
        <v>447</v>
      </c>
      <c s="2274"/>
      <c s="2282"/>
      <c s="2369"/>
      <c s="2368"/>
      <c s="1986" t="s">
        <v>538</v>
      </c>
      <c s="1986" t="s">
        <v>539</v>
      </c>
      <c s="2368"/>
      <c s="1986" t="s">
        <v>540</v>
      </c>
      <c s="1986" t="s">
        <v>541</v>
      </c>
      <c s="1492" t="s">
        <v>446</v>
      </c>
      <c s="2273" t="s">
        <v>447</v>
      </c>
      <c s="2274"/>
      <c s="2282"/>
      <c s="2285"/>
      <c s="2130"/>
      <c r="AY40" s="1158">
        <v>59</v>
      </c>
    </row>
    <row r="41" spans="1:51" s="1644" customFormat="1" ht="11.25" customHeight="1" hidden="1">
      <c r="A41" s="1373"/>
      <c s="1373"/>
      <c s="1373"/>
      <c s="1373"/>
      <c s="1373"/>
      <c s="1373"/>
      <c s="1373"/>
      <c s="1373"/>
      <c s="1373"/>
      <c s="1373"/>
      <c s="1373"/>
      <c s="1367"/>
      <c s="1365"/>
      <c s="1365"/>
      <c s="1365"/>
      <c s="1249"/>
      <c s="1250"/>
      <c s="1257">
        <v>1</v>
      </c>
      <c s="1280" t="s">
        <v>109</v>
      </c>
      <c s="1258" t="s">
        <v>110</v>
      </c>
      <c s="1248" t="str">
        <f ca="1">OFFSET(U41,0,-1)</f>
        <v>2</v>
      </c>
      <c s="1485">
        <f ca="1">OFFSET(V41,0,-1)+1</f>
        <v>3</v>
      </c>
      <c s="1344"/>
      <c s="1344"/>
      <c s="1344"/>
      <c s="1344"/>
      <c s="1344"/>
      <c s="1344"/>
      <c s="1485">
        <f ca="1">OFFSET(AC41,0,-1)+1</f>
        <v>1</v>
      </c>
      <c s="2275">
        <f ca="1">OFFSET(AD41,0,-1)+1</f>
        <v>2</v>
      </c>
      <c s="2275"/>
      <c s="1485">
        <f ca="1">OFFSET(AF41,0,-2)+1</f>
        <v>3</v>
      </c>
      <c s="1485">
        <f ca="1">OFFSET(AG41,0,-1)+1</f>
        <v>4</v>
      </c>
      <c s="1959"/>
      <c s="1959"/>
      <c s="1959"/>
      <c s="1959"/>
      <c s="1959"/>
      <c s="1485">
        <f ca="1">OFFSET(AM41,0,-1)+1</f>
        <v>1</v>
      </c>
      <c s="1485">
        <f ca="1">OFFSET(AN41,0,-1)+1</f>
        <v>2</v>
      </c>
      <c s="2275">
        <f ca="1">OFFSET(AO41,0,-1)+1</f>
        <v>3</v>
      </c>
      <c s="2275"/>
      <c s="1485">
        <f ca="1">OFFSET(AQ41,0,-2)+1</f>
        <v>4</v>
      </c>
      <c s="1248">
        <f ca="1">OFFSET(AR41,0,-1)</f>
        <v>4</v>
      </c>
      <c s="1485">
        <f ca="1">OFFSET(AS41,0,-1)+1</f>
        <v>5</v>
      </c>
      <c s="514"/>
      <c s="514"/>
      <c s="514"/>
      <c s="514"/>
      <c s="514"/>
      <c s="499">
        <v>0</v>
      </c>
    </row>
    <row r="42" spans="1:51" ht="24" customHeight="1">
      <c r="A42" s="1366" t="s">
        <v>251</v>
      </c>
      <c s="1366"/>
      <c s="1366"/>
      <c s="1366"/>
      <c s="2261">
        <v>1</v>
      </c>
      <c s="1366"/>
      <c s="1366"/>
      <c s="1366"/>
      <c s="1366"/>
      <c s="1366"/>
      <c s="1366"/>
      <c s="1367"/>
      <c s="1368"/>
      <c s="1368"/>
      <c s="1368"/>
      <c s="364"/>
      <c s="363"/>
      <c s="358"/>
      <c s="1496">
        <f>INDEX(PT_DIFFERENTIATION_NUM_NTAR,MATCH(A42,PT_DIFFERENTIATION_NTAR_ID,0))</f>
        <v>0</v>
      </c>
      <c s="301" t="s">
        <v>125</v>
      </c>
      <c s="303"/>
      <c s="2245"/>
      <c s="2246"/>
      <c s="2246"/>
      <c s="2246"/>
      <c s="2246"/>
      <c s="2246"/>
      <c s="2246"/>
      <c s="2246"/>
      <c s="2246"/>
      <c s="2246"/>
      <c s="2247"/>
      <c s="2245" t="str">
        <f>INDEX(PT_DIFFERENTIATION_NTAR,MATCH(A42,PT_DIFFERENTIATION_NTAR_ID,0))</f>
        <v/>
      </c>
      <c s="2246"/>
      <c s="2246"/>
      <c s="2246"/>
      <c s="2246"/>
      <c s="2246"/>
      <c s="2246"/>
      <c s="2246"/>
      <c s="2246"/>
      <c s="2246"/>
      <c s="2246"/>
      <c s="2247"/>
      <c s="126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42" s="503"/>
      <c s="503" t="str">
        <f>IF(T42="","",T42)</f>
        <v>Наименование тарифа</v>
      </c>
      <c s="503"/>
      <c s="503"/>
      <c s="1158">
        <v>23</v>
      </c>
    </row>
    <row r="43" spans="1:51" ht="24" customHeight="1">
      <c r="A43" s="1366" t="s">
        <v>251</v>
      </c>
      <c s="1366" t="s">
        <v>252</v>
      </c>
      <c s="1366"/>
      <c s="1366"/>
      <c s="2262"/>
      <c s="2261">
        <v>1</v>
      </c>
      <c s="1366"/>
      <c s="1366"/>
      <c s="1366"/>
      <c s="1366"/>
      <c s="1366"/>
      <c s="1367"/>
      <c s="1368"/>
      <c s="1368"/>
      <c s="1368"/>
      <c s="1490"/>
      <c s="355"/>
      <c s="356"/>
      <c s="1496" t="str">
        <f>INDEX(PT_DIFFERENTIATION_NUM_TER,MATCH(B43,PT_DIFFERENTIATION_TER_ID,0))</f>
        <v>.</v>
      </c>
      <c s="311" t="s">
        <v>397</v>
      </c>
      <c s="303"/>
      <c s="2245"/>
      <c s="2246"/>
      <c s="2246"/>
      <c s="2246"/>
      <c s="2246"/>
      <c s="2246"/>
      <c s="2246"/>
      <c s="2246"/>
      <c s="2246"/>
      <c s="2246"/>
      <c s="2247"/>
      <c s="2245" t="str">
        <f>INDEX(PT_DIFFERENTIATION_TER,MATCH(B43,PT_DIFFERENTIATION_TER_ID,0))</f>
        <v/>
      </c>
      <c s="2246"/>
      <c s="2246"/>
      <c s="2246"/>
      <c s="2246"/>
      <c s="2246"/>
      <c s="2246"/>
      <c s="2246"/>
      <c s="2246"/>
      <c s="2246"/>
      <c s="2246"/>
      <c s="2247"/>
      <c s="1261" t="s">
        <v>398</v>
      </c>
      <c r="AU43" s="503"/>
      <c s="503" t="str">
        <f>IF(T43="","",T43)</f>
        <v>Территория действия тарифа</v>
      </c>
      <c s="503"/>
      <c s="503"/>
      <c s="1158">
        <v>23</v>
      </c>
    </row>
    <row r="44" spans="1:51" ht="24" customHeight="1">
      <c r="A44" s="1366" t="s">
        <v>251</v>
      </c>
      <c s="1366" t="s">
        <v>252</v>
      </c>
      <c s="1366" t="s">
        <v>253</v>
      </c>
      <c s="1366"/>
      <c s="2262"/>
      <c s="2262"/>
      <c s="2261">
        <v>1</v>
      </c>
      <c s="1366"/>
      <c s="1366"/>
      <c s="1366"/>
      <c s="1366"/>
      <c s="1367"/>
      <c s="1368"/>
      <c s="1368"/>
      <c s="1368"/>
      <c s="357"/>
      <c s="355"/>
      <c s="356"/>
      <c s="1496" t="str">
        <f>INDEX(PT_DIFFERENTIATION_NUM_CS,MATCH(C44,PT_DIFFERENTIATION_CS_ID,0))</f>
        <v>..</v>
      </c>
      <c s="312" t="s">
        <v>530</v>
      </c>
      <c s="303"/>
      <c s="2245"/>
      <c s="2246"/>
      <c s="2246"/>
      <c s="2246"/>
      <c s="2246"/>
      <c s="2246"/>
      <c s="2246"/>
      <c s="2246"/>
      <c s="2246"/>
      <c s="2246"/>
      <c s="2247"/>
      <c s="2245" t="str">
        <f>INDEX(PT_DIFFERENTIATION_CS,MATCH(C44,PT_DIFFERENTIATION_CS_ID,0))</f>
        <v/>
      </c>
      <c s="2246"/>
      <c s="2246"/>
      <c s="2246"/>
      <c s="2246"/>
      <c s="2246"/>
      <c s="2246"/>
      <c s="2246"/>
      <c s="2246"/>
      <c s="2246"/>
      <c s="2246"/>
      <c s="2247"/>
      <c s="1261" t="s">
        <v>531</v>
      </c>
      <c r="AU44" s="503"/>
      <c s="503" t="str">
        <f>IF(T44="","",T44)</f>
        <v>Наименование централизованной системы горячего водоснабжения</v>
      </c>
      <c s="503"/>
      <c s="503"/>
      <c s="1158">
        <v>23</v>
      </c>
    </row>
    <row r="45" spans="1:51" ht="24" customHeight="1">
      <c r="A45" s="1366" t="s">
        <v>251</v>
      </c>
      <c s="1366" t="s">
        <v>252</v>
      </c>
      <c s="1366" t="s">
        <v>253</v>
      </c>
      <c s="1366" t="s">
        <v>542</v>
      </c>
      <c s="2262"/>
      <c s="2262"/>
      <c s="2262"/>
      <c s="2262"/>
      <c s="2259" t="str">
        <f>S44&amp;".1"</f>
        <v>...1</v>
      </c>
      <c s="1366"/>
      <c s="1366"/>
      <c s="1367"/>
      <c r="P45" s="2260">
        <v>1</v>
      </c>
      <c s="1484"/>
      <c s="359"/>
      <c s="1496" t="str">
        <f>$I45</f>
        <v>...1</v>
      </c>
      <c s="288" t="s">
        <v>483</v>
      </c>
      <c s="303"/>
      <c s="2353"/>
      <c s="2354"/>
      <c s="2354"/>
      <c s="2354"/>
      <c s="2354"/>
      <c s="2354"/>
      <c s="2354"/>
      <c s="2354"/>
      <c s="2354"/>
      <c s="2354"/>
      <c s="2355"/>
      <c s="2356"/>
      <c s="2357"/>
      <c s="2357"/>
      <c s="2357"/>
      <c s="2357"/>
      <c s="2357"/>
      <c s="2357"/>
      <c s="2357"/>
      <c s="2357"/>
      <c s="2357"/>
      <c s="2357"/>
      <c s="2358"/>
      <c s="1261" t="s">
        <v>484</v>
      </c>
      <c r="AU45" s="503"/>
      <c s="503" t="str">
        <f>IF(T45="","",T45)</f>
        <v>Наименование признака дифференциации</v>
      </c>
      <c s="503"/>
      <c s="503"/>
      <c s="1158">
        <v>23</v>
      </c>
    </row>
    <row r="46" spans="1:51" ht="24" customHeight="1">
      <c r="A46" s="1366" t="s">
        <v>251</v>
      </c>
      <c s="1366" t="s">
        <v>252</v>
      </c>
      <c s="1366" t="s">
        <v>253</v>
      </c>
      <c s="1366" t="s">
        <v>542</v>
      </c>
      <c s="2262"/>
      <c s="2262"/>
      <c s="2262"/>
      <c s="2262"/>
      <c s="2289"/>
      <c s="2259" t="str">
        <f>I45&amp;".1"</f>
        <v>...1.1</v>
      </c>
      <c s="1366"/>
      <c s="1367" t="s">
        <v>406</v>
      </c>
      <c r="P46" s="2260"/>
      <c s="2260">
        <v>1</v>
      </c>
      <c s="360"/>
      <c s="1496" t="str">
        <f>$J46</f>
        <v>...1.1</v>
      </c>
      <c s="289" t="s">
        <v>407</v>
      </c>
      <c s="303"/>
      <c s="2248"/>
      <c s="2249"/>
      <c s="2249"/>
      <c s="2249"/>
      <c s="2249"/>
      <c s="2249"/>
      <c s="2249"/>
      <c s="2249"/>
      <c s="2249"/>
      <c s="2249"/>
      <c s="2250"/>
      <c s="2248"/>
      <c s="2249"/>
      <c s="2249"/>
      <c s="2249"/>
      <c s="2249"/>
      <c s="2249"/>
      <c s="2249"/>
      <c s="2249"/>
      <c s="2249"/>
      <c s="2249"/>
      <c s="2249"/>
      <c s="2250"/>
      <c s="1310" t="s">
        <v>485</v>
      </c>
      <c r="AU46" s="503"/>
      <c s="503" t="str">
        <f>IF(T46="","",T46)</f>
        <v>Группа потребителей</v>
      </c>
      <c s="503"/>
      <c s="503"/>
      <c s="1158">
        <v>23</v>
      </c>
    </row>
    <row r="47" spans="1:51" ht="24" customHeight="1">
      <c r="A47" s="1366" t="s">
        <v>251</v>
      </c>
      <c s="1366" t="s">
        <v>252</v>
      </c>
      <c s="1366" t="s">
        <v>253</v>
      </c>
      <c s="1366" t="s">
        <v>542</v>
      </c>
      <c s="2262"/>
      <c s="2262"/>
      <c s="2262"/>
      <c s="2262"/>
      <c s="2289"/>
      <c s="2289"/>
      <c s="2259" t="str">
        <f>J46&amp;".1"</f>
        <v>...1.1.1</v>
      </c>
      <c s="1367"/>
      <c r="P47" s="2260"/>
      <c s="2260"/>
      <c s="360">
        <v>1</v>
      </c>
      <c s="1496" t="str">
        <f>$K47</f>
        <v>...1.1.1</v>
      </c>
      <c s="1440"/>
      <c s="303"/>
      <c s="754"/>
      <c s="754"/>
      <c s="754"/>
      <c s="754"/>
      <c s="754"/>
      <c s="754"/>
      <c s="754"/>
      <c s="2270"/>
      <c s="2271" t="s">
        <v>65</v>
      </c>
      <c s="2270"/>
      <c s="2271" t="s">
        <v>65</v>
      </c>
      <c s="754"/>
      <c s="754"/>
      <c s="754"/>
      <c s="754"/>
      <c s="754"/>
      <c s="754"/>
      <c s="754"/>
      <c s="2268"/>
      <c s="2110" t="s">
        <v>65</v>
      </c>
      <c s="2290"/>
      <c s="2110" t="s">
        <v>19</v>
      </c>
      <c s="1441"/>
      <c s="235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s="514">
        <f>STRCHECKDATE(V48:AR48)</f>
      </c>
      <c s="503"/>
      <c s="503" t="str">
        <f>IF(T47="","",T47)</f>
        <v/>
      </c>
      <c s="503"/>
      <c s="503"/>
      <c s="1158">
        <v>23</v>
      </c>
    </row>
    <row r="48" spans="1:51" ht="0" customHeight="1">
      <c r="A48" s="1366" t="s">
        <v>251</v>
      </c>
      <c s="1366" t="s">
        <v>252</v>
      </c>
      <c s="1366" t="s">
        <v>253</v>
      </c>
      <c s="1366" t="s">
        <v>542</v>
      </c>
      <c s="2262"/>
      <c s="2262"/>
      <c s="2262"/>
      <c s="2262"/>
      <c s="2289"/>
      <c s="2289"/>
      <c s="2259"/>
      <c s="1367"/>
      <c r="P48" s="2260"/>
      <c s="2260"/>
      <c s="360"/>
      <c s="1493"/>
      <c s="303"/>
      <c s="303"/>
      <c s="1363"/>
      <c s="1363"/>
      <c s="1363"/>
      <c s="1363"/>
      <c s="1363"/>
      <c s="1363"/>
      <c s="1363"/>
      <c s="2271"/>
      <c s="2271"/>
      <c s="2271"/>
      <c s="2271"/>
      <c s="328"/>
      <c s="328"/>
      <c s="328"/>
      <c s="328"/>
      <c s="328"/>
      <c s="328"/>
      <c s="328"/>
      <c s="2269"/>
      <c s="2110"/>
      <c s="2291"/>
      <c s="2110"/>
      <c s="1442"/>
      <c s="2352"/>
      <c r="AU48" s="503"/>
      <c s="503" t="str">
        <f>IF(T48="","",T48)</f>
        <v/>
      </c>
      <c s="503"/>
      <c s="503"/>
      <c s="1158">
        <v>0</v>
      </c>
    </row>
    <row r="49" spans="1:51" ht="21" customHeight="1">
      <c r="A49" s="1366" t="s">
        <v>251</v>
      </c>
      <c s="1366" t="s">
        <v>252</v>
      </c>
      <c s="1366" t="s">
        <v>253</v>
      </c>
      <c s="1366" t="s">
        <v>542</v>
      </c>
      <c s="2262"/>
      <c s="2262"/>
      <c s="2262"/>
      <c s="2262"/>
      <c s="2289"/>
      <c s="2259"/>
      <c s="1366"/>
      <c s="1367"/>
      <c r="P49" s="2260"/>
      <c s="2260"/>
      <c s="359"/>
      <c s="1281"/>
      <c s="290" t="s">
        <v>486</v>
      </c>
      <c s="370"/>
      <c s="370"/>
      <c s="603"/>
      <c s="603"/>
      <c s="603"/>
      <c s="603"/>
      <c s="603"/>
      <c s="603"/>
      <c s="370"/>
      <c s="370"/>
      <c s="370"/>
      <c s="370"/>
      <c s="370"/>
      <c s="603"/>
      <c s="603"/>
      <c s="603"/>
      <c s="603"/>
      <c s="603"/>
      <c s="370"/>
      <c s="370"/>
      <c s="370"/>
      <c s="370"/>
      <c s="370"/>
      <c s="370"/>
      <c s="1261" t="s">
        <v>487</v>
      </c>
      <c r="AU49" s="503"/>
      <c s="503" t="str">
        <f>IF(T49="","",T49)</f>
        <v>Добавить значение признака дифференциации</v>
      </c>
      <c s="503"/>
      <c s="503"/>
      <c s="1158">
        <v>20</v>
      </c>
    </row>
    <row r="50" spans="1:51" ht="22.05" customHeight="1">
      <c r="A50" s="1366" t="s">
        <v>251</v>
      </c>
      <c s="1366" t="s">
        <v>252</v>
      </c>
      <c s="1366" t="s">
        <v>253</v>
      </c>
      <c s="1366" t="s">
        <v>542</v>
      </c>
      <c s="2262"/>
      <c s="2262"/>
      <c s="2262"/>
      <c s="2262"/>
      <c s="2259"/>
      <c s="1366"/>
      <c s="1366"/>
      <c s="1367"/>
      <c r="P50" s="2260"/>
      <c s="1484"/>
      <c s="359"/>
      <c s="1281"/>
      <c s="368" t="s">
        <v>412</v>
      </c>
      <c s="370"/>
      <c s="370"/>
      <c s="603"/>
      <c s="603"/>
      <c s="603"/>
      <c s="603"/>
      <c s="603"/>
      <c s="603"/>
      <c s="370"/>
      <c s="370"/>
      <c s="370"/>
      <c s="369"/>
      <c s="370"/>
      <c s="603"/>
      <c s="603"/>
      <c s="603"/>
      <c s="603"/>
      <c s="603"/>
      <c s="370"/>
      <c s="370"/>
      <c s="370"/>
      <c s="370"/>
      <c s="369"/>
      <c s="370"/>
      <c s="1443"/>
      <c r="AU50" s="503"/>
      <c s="503" t="str">
        <f>IF(T50="","",T50)</f>
        <v>Добавить группу потребителей</v>
      </c>
      <c s="503"/>
      <c s="503"/>
      <c s="1158">
        <v>21</v>
      </c>
    </row>
    <row r="51" spans="1:51" ht="22.05" customHeight="1">
      <c r="A51" s="1366" t="s">
        <v>251</v>
      </c>
      <c s="1366" t="s">
        <v>252</v>
      </c>
      <c s="1366" t="s">
        <v>253</v>
      </c>
      <c s="1366" t="s">
        <v>542</v>
      </c>
      <c s="2262"/>
      <c s="2262"/>
      <c s="2262"/>
      <c s="2261"/>
      <c s="1366"/>
      <c s="1366"/>
      <c s="1366"/>
      <c s="1367"/>
      <c s="1368"/>
      <c s="1368"/>
      <c s="540"/>
      <c s="363"/>
      <c s="378"/>
      <c s="358"/>
      <c s="1281"/>
      <c s="375" t="s">
        <v>488</v>
      </c>
      <c s="370"/>
      <c s="370"/>
      <c s="603"/>
      <c s="603"/>
      <c s="603"/>
      <c s="603"/>
      <c s="603"/>
      <c s="603"/>
      <c s="370"/>
      <c s="370"/>
      <c s="370"/>
      <c s="369"/>
      <c s="370"/>
      <c s="603"/>
      <c s="603"/>
      <c s="603"/>
      <c s="603"/>
      <c s="603"/>
      <c s="370"/>
      <c s="370"/>
      <c s="370"/>
      <c s="370"/>
      <c s="369"/>
      <c s="370"/>
      <c s="306"/>
      <c r="AU51" s="503"/>
      <c s="503" t="str">
        <f>IF(T51="","",T51)</f>
        <v>Добавить наименование признака дифференциации</v>
      </c>
      <c s="503"/>
      <c s="503"/>
      <c s="1158">
        <v>21</v>
      </c>
    </row>
    <row r="52" spans="1:51" s="1645" customFormat="1" ht="0" customHeight="1">
      <c r="A52" s="1346" t="s">
        <v>251</v>
      </c>
      <c s="1346" t="s">
        <v>252</v>
      </c>
      <c s="1317"/>
      <c s="1317"/>
      <c s="2262"/>
      <c s="2261"/>
      <c s="1317"/>
      <c s="1317"/>
      <c s="1317"/>
      <c s="1317"/>
      <c s="1317"/>
      <c s="1497"/>
      <c s="1324"/>
      <c s="1324"/>
      <c r="P52" s="1319"/>
      <c s="1320"/>
      <c s="1319"/>
      <c s="1325"/>
      <c s="1328" t="s">
        <v>415</v>
      </c>
      <c s="1327"/>
      <c s="1327"/>
      <c s="1327"/>
      <c s="1327"/>
      <c s="1327"/>
      <c s="1327"/>
      <c s="1327"/>
      <c s="1327"/>
      <c s="1327"/>
      <c s="1327"/>
      <c s="1327"/>
      <c s="1327"/>
      <c s="1327"/>
      <c s="1327"/>
      <c s="1327"/>
      <c s="1327"/>
      <c s="1327"/>
      <c s="1327"/>
      <c s="1327"/>
      <c s="1327"/>
      <c s="1327"/>
      <c s="1327"/>
      <c s="1327"/>
      <c s="1327"/>
      <c s="1327"/>
      <c r="AU52" s="792"/>
      <c s="792" t="str">
        <f>IF(T52="","",T52)</f>
        <v>Добавить централизованную систему для дифференциации</v>
      </c>
      <c s="792"/>
      <c s="792"/>
      <c s="521">
        <v>0</v>
      </c>
    </row>
    <row r="53" spans="1:51" s="1645" customFormat="1" ht="0" customHeight="1">
      <c r="A53" s="1346" t="s">
        <v>251</v>
      </c>
      <c s="1346"/>
      <c s="1346"/>
      <c s="1346"/>
      <c s="2261"/>
      <c s="1346"/>
      <c s="1346"/>
      <c s="1346"/>
      <c s="1346"/>
      <c s="1346"/>
      <c s="1346"/>
      <c s="1349"/>
      <c s="1324"/>
      <c s="1324"/>
      <c s="521"/>
      <c s="383"/>
      <c s="1347"/>
      <c s="383"/>
      <c s="1325"/>
      <c s="1328" t="s">
        <v>416</v>
      </c>
      <c s="1327"/>
      <c s="1327"/>
      <c s="1327"/>
      <c s="1327"/>
      <c s="1327"/>
      <c s="1327"/>
      <c s="1327"/>
      <c s="1327"/>
      <c s="1327"/>
      <c s="1327"/>
      <c s="1327"/>
      <c s="1327"/>
      <c s="1327"/>
      <c s="1327"/>
      <c s="1327"/>
      <c s="1327"/>
      <c s="1327"/>
      <c s="1327"/>
      <c s="1327"/>
      <c s="1327"/>
      <c s="1327"/>
      <c s="1327"/>
      <c s="1327"/>
      <c s="1327"/>
      <c s="1327"/>
      <c r="AU53" s="503"/>
      <c s="503" t="str">
        <f>IF(T53="","",T53)</f>
        <v>Добавить территорию для дифференциации</v>
      </c>
      <c s="503"/>
      <c s="503"/>
      <c s="514">
        <v>0</v>
      </c>
    </row>
    <row r="54" spans="1:51" s="1645" customFormat="1" ht="0" customHeight="1">
      <c r="A54" s="1317"/>
      <c s="1317"/>
      <c s="1317"/>
      <c s="1317"/>
      <c s="1346"/>
      <c s="1317"/>
      <c s="1317"/>
      <c s="1317"/>
      <c s="1317"/>
      <c s="1317"/>
      <c s="1317"/>
      <c s="1497"/>
      <c s="1324"/>
      <c s="1324"/>
      <c r="P54" s="1319"/>
      <c s="1320"/>
      <c s="1319"/>
      <c s="1325"/>
      <c s="1328" t="s">
        <v>448</v>
      </c>
      <c s="1327"/>
      <c s="1327"/>
      <c s="1327"/>
      <c s="1327"/>
      <c s="1327"/>
      <c s="1327"/>
      <c s="1327"/>
      <c s="1327"/>
      <c s="1327"/>
      <c s="1327"/>
      <c s="1327"/>
      <c s="1327"/>
      <c s="1327"/>
      <c s="1327"/>
      <c s="1327"/>
      <c s="1327"/>
      <c s="1327"/>
      <c s="1327"/>
      <c s="1327"/>
      <c s="1327"/>
      <c s="1327"/>
      <c s="1327"/>
      <c s="1327"/>
      <c s="1327"/>
      <c s="1327"/>
      <c r="AU54" s="792"/>
      <c s="792" t="str">
        <f>IF(T54="","",T54)</f>
        <v>Добавить наименование тарифа</v>
      </c>
      <c s="792"/>
      <c s="792"/>
      <c s="521">
        <v>0</v>
      </c>
    </row>
    <row r="55" spans="13:51" ht="11.55" customHeight="1">
      <c r="M55" s="1163"/>
      <c s="1163"/>
      <c s="540"/>
      <c s="1158"/>
      <c s="1158"/>
      <c s="1158"/>
      <c s="1158"/>
      <c r="AT55" s="1158"/>
      <c s="1158"/>
      <c s="1158"/>
      <c s="1158"/>
      <c s="1158"/>
      <c s="1158">
        <v>11</v>
      </c>
    </row>
    <row r="56" spans="15:51" ht="14.7" customHeight="1">
      <c r="O56" s="540"/>
      <c r="S56" s="1256"/>
      <c s="2288"/>
      <c s="2288"/>
      <c s="2288"/>
      <c s="2288"/>
      <c s="2288"/>
      <c s="2288"/>
      <c s="2288"/>
      <c s="2288"/>
      <c s="2288"/>
      <c s="2288"/>
      <c s="2288"/>
      <c s="2288"/>
      <c s="2288"/>
      <c s="2288"/>
      <c s="2288"/>
      <c s="2288"/>
      <c s="2288"/>
      <c s="2288"/>
      <c s="2288"/>
      <c s="2288"/>
      <c s="2288"/>
      <c s="2288"/>
      <c s="2288"/>
      <c s="2288"/>
      <c s="2288"/>
      <c s="2288"/>
      <c r="AY56" s="1158">
        <v>14</v>
      </c>
    </row>
    <row r="57" spans="15:15 51:51" ht="14.7" customHeight="1">
      <c r="O57" s="540"/>
      <c r="AY57" s="1158">
        <v>14</v>
      </c>
    </row>
    <row r="58" spans="15:51" ht="14.7" customHeight="1">
      <c r="O58" s="540"/>
      <c r="S58" s="1256"/>
      <c s="2288"/>
      <c s="2288"/>
      <c s="2288"/>
      <c s="2288"/>
      <c s="2288"/>
      <c s="2288"/>
      <c s="2288"/>
      <c s="2288"/>
      <c s="2288"/>
      <c s="2288"/>
      <c s="2288"/>
      <c s="2288"/>
      <c s="2288"/>
      <c s="2288"/>
      <c s="2288"/>
      <c s="2288"/>
      <c s="2288"/>
      <c s="2288"/>
      <c s="2288"/>
      <c s="2288"/>
      <c s="2288"/>
      <c s="2288"/>
      <c s="2288"/>
      <c s="2288"/>
      <c s="2288"/>
      <c s="2288"/>
      <c r="AY58" s="1158">
        <v>14</v>
      </c>
    </row>
    <row r="59" spans="1:51" ht="22.5" customHeight="1" hidden="1">
      <c r="A59" s="1163" t="s">
        <v>81</v>
      </c>
      <c s="1163">
        <v>0</v>
      </c>
      <c s="1163">
        <v>0</v>
      </c>
      <c s="1163">
        <v>0</v>
      </c>
      <c s="1163">
        <v>0</v>
      </c>
      <c s="1163">
        <v>0</v>
      </c>
      <c s="1163">
        <v>0</v>
      </c>
      <c s="1163">
        <v>0</v>
      </c>
      <c s="1163">
        <v>0</v>
      </c>
      <c s="1163">
        <v>0</v>
      </c>
      <c s="1163">
        <v>0</v>
      </c>
      <c s="1481">
        <v>0</v>
      </c>
      <c s="1365">
        <v>0</v>
      </c>
      <c s="1365">
        <v>0</v>
      </c>
      <c s="1365">
        <v>0</v>
      </c>
      <c s="1476">
        <v>3</v>
      </c>
      <c s="347">
        <v>3</v>
      </c>
      <c s="347">
        <v>3</v>
      </c>
      <c s="584">
        <v>12</v>
      </c>
      <c s="1158">
        <v>35</v>
      </c>
      <c s="1158">
        <v>0</v>
      </c>
      <c s="1158">
        <v>0</v>
      </c>
      <c s="1634">
        <v>0</v>
      </c>
      <c s="1634">
        <v>0</v>
      </c>
      <c s="1634">
        <v>0</v>
      </c>
      <c s="1634">
        <v>0</v>
      </c>
      <c s="1634">
        <v>0</v>
      </c>
      <c s="1634">
        <v>0</v>
      </c>
      <c s="1158">
        <v>0</v>
      </c>
      <c s="1158">
        <v>0</v>
      </c>
      <c s="1158">
        <v>0</v>
      </c>
      <c s="1158">
        <v>0</v>
      </c>
      <c s="1158">
        <v>19</v>
      </c>
      <c s="1634">
        <v>19</v>
      </c>
      <c s="1634">
        <v>19</v>
      </c>
      <c s="1634">
        <v>19</v>
      </c>
      <c s="1634">
        <v>19</v>
      </c>
      <c s="1634">
        <v>19</v>
      </c>
      <c s="1158">
        <v>19</v>
      </c>
      <c s="1158">
        <v>11</v>
      </c>
      <c s="1158">
        <v>3</v>
      </c>
      <c s="1158">
        <v>11</v>
      </c>
      <c s="1158">
        <v>0</v>
      </c>
      <c s="1158">
        <v>4</v>
      </c>
      <c s="1158">
        <v>115</v>
      </c>
      <c s="514">
        <v>10</v>
      </c>
      <c s="514">
        <v>10</v>
      </c>
      <c s="514">
        <v>10</v>
      </c>
      <c s="514">
        <v>10</v>
      </c>
      <c s="514">
        <v>10</v>
      </c>
      <c s="1158">
        <v>23</v>
      </c>
    </row>
  </sheetData>
  <sheetProtection formatColumns="0" formatRows="0" insertRows="0" deleteColumns="0" deleteRows="0" sort="0" autoFilter="0"/>
  <mergeCells count="113">
    <mergeCell ref="AS47:AS48"/>
    <mergeCell ref="T56:AS56"/>
    <mergeCell ref="T58:AS58"/>
    <mergeCell ref="K47:K48"/>
    <mergeCell ref="AC47:AC48"/>
    <mergeCell ref="AD47:AD48"/>
    <mergeCell ref="AE47:AE48"/>
    <mergeCell ref="AF47:AF48"/>
    <mergeCell ref="AN47:AN48"/>
    <mergeCell ref="V38:V40"/>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V46:AF46"/>
    <mergeCell ref="AG46:AR46"/>
    <mergeCell ref="AO47:AO48"/>
    <mergeCell ref="AP47:AP48"/>
    <mergeCell ref="AQ47:AQ48"/>
    <mergeCell ref="V28:AE28"/>
    <mergeCell ref="AG28:AP28"/>
    <mergeCell ref="AS36:AS40"/>
    <mergeCell ref="S37:S40"/>
    <mergeCell ref="T37:T40"/>
    <mergeCell ref="V37:AE37"/>
    <mergeCell ref="AF37:AF40"/>
    <mergeCell ref="AG37:AP37"/>
    <mergeCell ref="AQ37:AQ40"/>
    <mergeCell ref="S32:T32"/>
    <mergeCell ref="V32:AE32"/>
    <mergeCell ref="AG32:AP32"/>
    <mergeCell ref="S33:T33"/>
    <mergeCell ref="V33:AE33"/>
    <mergeCell ref="AG33:AP33"/>
    <mergeCell ref="AR37:AR40"/>
    <mergeCell ref="AD40:AE40"/>
    <mergeCell ref="AO40:AP40"/>
    <mergeCell ref="V35:AF35"/>
    <mergeCell ref="AG35:AQ35"/>
    <mergeCell ref="S36:AR36"/>
    <mergeCell ref="AN38:AP39"/>
    <mergeCell ref="AC38:AE39"/>
    <mergeCell ref="AL39:AM39"/>
    <mergeCell ref="S29:T29"/>
    <mergeCell ref="AG38:AG40"/>
    <mergeCell ref="AS7:AS8"/>
    <mergeCell ref="AN15:AN16"/>
    <mergeCell ref="AO15:AO16"/>
    <mergeCell ref="AP15:AP16"/>
    <mergeCell ref="AQ15:AQ16"/>
    <mergeCell ref="AD7:AD8"/>
    <mergeCell ref="AE7:AE8"/>
    <mergeCell ref="AF7:AF8"/>
    <mergeCell ref="AN7:AN8"/>
    <mergeCell ref="AO7:AO8"/>
    <mergeCell ref="AP7:AP8"/>
    <mergeCell ref="V29:AE29"/>
    <mergeCell ref="AG29:AP29"/>
    <mergeCell ref="S30:T30"/>
    <mergeCell ref="V30:AE30"/>
    <mergeCell ref="AG30:AP30"/>
    <mergeCell ref="S24:AP24"/>
    <mergeCell ref="S25:AP25"/>
    <mergeCell ref="S27:T27"/>
    <mergeCell ref="V27:AE27"/>
    <mergeCell ref="AG27:AP27"/>
    <mergeCell ref="S28:T28"/>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 ref="AH38:AJ38"/>
    <mergeCell ref="AK38:AM38"/>
    <mergeCell ref="AH39:AH40"/>
    <mergeCell ref="AI39:AJ39"/>
    <mergeCell ref="AK39:AK40"/>
    <mergeCell ref="X39:Y39"/>
    <mergeCell ref="W39:W40"/>
    <mergeCell ref="Z39:Z40"/>
    <mergeCell ref="AA39:AB39"/>
    <mergeCell ref="W38:Y38"/>
    <mergeCell ref="Z38:AB38"/>
  </mergeCells>
  <dataValidations count="7">
    <dataValidation allowBlank="1" sqref="S65581:AS65587 S131117:AS131123 S196653:AS196659 S262189:AS262195 S327725:AS327731 S393261:AS393267 S458797:AS458803 S524333:AS524339 S589869:AS589875 S655405:AS655411 S720941:AS720947 S786477:AS786483 S852013:AS852019 S917549:AS917555 S983085:AS983091"/>
    <dataValidation type="list" allowBlank="1" showInputMessage="1" prompt="Выберите значение из списка" errorTitle="Ошибка" error="Выберите значение из списка" sqref="V65578:AR65578 V983082:AR983082 V131114:AR131114 V196650:AR196650 V262186:AR262186 V327722:AR327722 V393258:AR393258 V458794:AR458794 V524330:AR524330 V589866:AR589866 V655402:AR655402 V720938:AR720938 V786474:AR786474 V852010:AR852010 V917546:AR917546">
      <formula1>kind_of_cons</formula1>
    </dataValidation>
    <dataValidation type="list" allowBlank="1" showInputMessage="1" showErrorMessage="1" errorTitle="Ошибка" error="Выберите значение из списка" sqref="V65577:AB65577 AG917545:AL917545 AG852009:AL852009 AG786473:AL786473 AG720937:AL720937 AG655401:AL655401 AG589865:AL589865 AG524329:AL524329 AG458793:AL458793 AG393257:AL393257 AG327721:AL327721 AG262185:AL262185 AG196649:AL196649 AG131113:AL131113 AG65577:AL65577 AG983081:AL983081 V983081:AB983081 V131113:AB131113 V196649:AB196649 V262185:AB262185 V327721:AB327721 V393257:AB393257 V458793:AB458793 V524329:AB524329 V589865:AB589865 V655401:AB655401 V720937:AB720937 V786473:AB786473 V852009:AB852009 V917545:AB917545">
      <formula1>kind_of_scheme_in</formula1>
    </dataValidation>
    <dataValidation type="textLength" operator="lessThanOrEqual" allowBlank="1" showInputMessage="1" showErrorMessage="1" errorTitle="Ошибка" error="Допускается ввод не более 900 символов!" sqref="AG5:AR5 AS65573:AS65580 AS131109:AS131116 AS196645:AS196652 AS262181:AS262188 AS327717:AS327724 AS393253:AS393260 AS458789:AS458796 AS524325:AS524332 AS589861:AS589868 AS655397:AS655404 AS720933:AS720940 AS786469:AS786476 AS852005:AS852012 AS917541:AS917548 AS983077:AS983084 T47 T7 AG45:AR45">
      <formula1>900</formula1>
    </dataValidation>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7 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E7 AC47 AE47"/>
    <dataValidation allowBlank="1" showInputMessage="1" showErrorMessage="1" prompt="Для выбора выполните двойной щелчок левой клавиши мыши по соответствующей ячейке." sqref="AD7 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F7 AQ393259 AQ47 AD47 AF47"/>
  </dataValidations>
  <pageMargins left="0.7" right="0.7" top="0.75" bottom="0.75" header="0.3" footer="0.3"/>
  <pageSetup orientation="portrait"/>
</worksheet>
</file>

<file path=xl/worksheets/sheet3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m="http://schemas.microsoft.com/office/excel/2006/main" xmlns:x14ac="http://schemas.microsoft.com/office/spreadsheetml/2009/9/ac" xmlns:xr="http://schemas.microsoft.com/office/spreadsheetml/2014/revision" xmlns:xr2="http://schemas.microsoft.com/office/spreadsheetml/2015/revision2" xmlns:xr3="http://schemas.microsoft.com/office/spreadsheetml/2016/revision3" xr:uid="{EA8F2934-8A1F-E386-035B-7D0A931A7A7E}" mc:Ignorable="x14ac xr xr2 xr3">
  <sheetPr>
    <tabColor theme="6" tint="0.400000005960464"/>
  </sheetPr>
  <dimension ref="A1:AY59"/>
  <sheetViews>
    <sheetView showGridLines="0" zoomScale="90" zoomScaleNormal="90" workbookViewId="0" topLeftCell="A1">
      <pane xSplit="32" ySplit="41" topLeftCell="AG42" activePane="bottomRight" state="frozen"/>
      <selection pane="topLeft" activeCell="A1" sqref="A1"/>
      <selection pane="bottomLeft" activeCell="A42" sqref="A42"/>
      <selection pane="topRight" activeCell="AG1" sqref="AG1"/>
      <selection pane="bottomRight" activeCell="A1" sqref="A1"/>
    </sheetView>
  </sheetViews>
  <sheetFormatPr defaultColWidth="10.5742857142857" defaultRowHeight="14.25" customHeight="1"/>
  <cols>
    <col min="1" max="1" width="10.5714285714286" style="1369" hidden="1"/>
    <col min="2" max="2" width="11" style="1369" hidden="1" customWidth="1"/>
    <col min="3" max="3" width="10.5714285714286" style="1369" hidden="1"/>
    <col min="4" max="4" width="11.8571428571429" style="1369" hidden="1" customWidth="1"/>
    <col min="5" max="5" width="10" style="1369" hidden="1" customWidth="1"/>
    <col min="6" max="6" width="8.71428571428571" style="1369" hidden="1" customWidth="1"/>
    <col min="7" max="7" width="7.57142857142857" style="1369" hidden="1" customWidth="1"/>
    <col min="8" max="8" width="11.4285714285714" style="1369" hidden="1" customWidth="1"/>
    <col min="9" max="9" width="14.1428571428571" style="1369" hidden="1" customWidth="1"/>
    <col min="10" max="10" width="9.85714285714286" style="1369" hidden="1" customWidth="1"/>
    <col min="11" max="11" width="14.7142857142857" style="1369" hidden="1" customWidth="1"/>
    <col min="12" max="12" width="19.1428571428571" style="2610" hidden="1" customWidth="1"/>
    <col min="13" max="14" width="12.2857142857143" style="1779" hidden="1" customWidth="1"/>
    <col min="15" max="15" width="23.4285714285714" style="1779" hidden="1" customWidth="1"/>
    <col min="16" max="16" width="3" style="2400" customWidth="1"/>
    <col min="17" max="18" width="3" style="347" customWidth="1"/>
    <col min="19" max="19" width="12" style="2410" customWidth="1"/>
    <col min="20" max="20" width="35" style="1638" customWidth="1"/>
    <col min="21" max="21" width="0.142857142857143" style="1638" customWidth="1"/>
    <col min="22" max="28" width="19.7142857142857" style="1638" hidden="1" customWidth="1"/>
    <col min="29" max="29" width="11.7142857142857" style="1638" hidden="1" customWidth="1"/>
    <col min="30" max="30" width="3.71428571428571" style="1638" hidden="1" customWidth="1"/>
    <col min="31" max="31" width="11.7142857142857" style="1638" hidden="1" customWidth="1"/>
    <col min="32" max="32" width="8.57142857142857" style="1638" hidden="1" customWidth="1"/>
    <col min="33" max="33" width="19.7142857142857" style="1638" customWidth="1"/>
    <col min="34" max="39" width="19" style="1638" customWidth="1"/>
    <col min="40" max="40" width="11" style="1638" customWidth="1"/>
    <col min="41" max="41" width="3.71428571428571" style="1638" customWidth="1"/>
    <col min="42" max="42" width="11" style="1638" customWidth="1"/>
    <col min="43" max="43" width="8.57142857142857" style="1638" hidden="1" customWidth="1"/>
    <col min="44" max="44" width="4" style="1638" customWidth="1"/>
    <col min="45" max="45" width="115" style="1638" customWidth="1"/>
    <col min="46" max="50" width="10" style="1645" customWidth="1"/>
    <col min="51" max="51" width="10.5714285714286" style="1638" hidden="1"/>
  </cols>
  <sheetData>
    <row r="1" spans="28:51" ht="22.5" customHeight="1" hidden="1">
      <c r="AB1" s="330"/>
      <c s="330"/>
      <c r="AM1" s="330"/>
      <c s="330"/>
      <c r="AY1" s="1158" t="s">
        <v>14</v>
      </c>
    </row>
    <row r="2" spans="1:51" ht="23.25" customHeight="1" hidden="1">
      <c r="A2" s="1366"/>
      <c s="1366"/>
      <c s="1366"/>
      <c s="1366"/>
      <c s="2261">
        <v>1</v>
      </c>
      <c s="1366"/>
      <c s="1366"/>
      <c s="1366"/>
      <c s="1366"/>
      <c s="1366"/>
      <c s="1366"/>
      <c s="1367"/>
      <c s="1368"/>
      <c s="1368"/>
      <c s="1368"/>
      <c s="364"/>
      <c s="363"/>
      <c s="358"/>
      <c s="1496">
        <f>INDEX(PT_DIFFERENTIATION_NUM_NTAR,MATCH(A2,PT_DIFFERENTIATION_NTAR_ID,0))</f>
      </c>
      <c s="301" t="s">
        <v>125</v>
      </c>
      <c s="303"/>
      <c s="2245"/>
      <c s="2246"/>
      <c s="2246"/>
      <c s="2246"/>
      <c s="2246"/>
      <c s="2246"/>
      <c s="2246"/>
      <c s="2246"/>
      <c s="2246"/>
      <c s="2246"/>
      <c s="2247"/>
      <c s="2245">
        <f>INDEX(PT_DIFFERENTIATION_NTAR,MATCH(A2,PT_DIFFERENTIATION_NTAR_ID,0))</f>
      </c>
      <c s="2246"/>
      <c s="2246"/>
      <c s="2246"/>
      <c s="2246"/>
      <c s="2246"/>
      <c s="2246"/>
      <c s="2246"/>
      <c s="2246"/>
      <c s="2246"/>
      <c s="2246"/>
      <c s="2247"/>
      <c s="126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2" s="503"/>
      <c s="503" t="str">
        <f>IF(T2="","",T2)</f>
        <v>Наименование тарифа</v>
      </c>
      <c s="503"/>
      <c s="503"/>
      <c s="1158">
        <v>0</v>
      </c>
    </row>
    <row r="3" spans="1:51" ht="23.25" customHeight="1" hidden="1">
      <c r="A3" s="1366"/>
      <c s="1366"/>
      <c s="1366"/>
      <c s="1366"/>
      <c s="2262"/>
      <c s="2261">
        <v>1</v>
      </c>
      <c s="1366"/>
      <c s="1366"/>
      <c s="1366"/>
      <c s="1366"/>
      <c s="1366"/>
      <c s="1367"/>
      <c s="1368"/>
      <c s="1368"/>
      <c s="1368"/>
      <c s="1490"/>
      <c s="355"/>
      <c s="356"/>
      <c s="1496">
        <f>INDEX(PT_DIFFERENTIATION_NUM_TER,MATCH(B3,PT_DIFFERENTIATION_TER_ID,0))</f>
      </c>
      <c s="311" t="s">
        <v>397</v>
      </c>
      <c s="303"/>
      <c s="2245"/>
      <c s="2246"/>
      <c s="2246"/>
      <c s="2246"/>
      <c s="2246"/>
      <c s="2246"/>
      <c s="2246"/>
      <c s="2246"/>
      <c s="2246"/>
      <c s="2246"/>
      <c s="2247"/>
      <c s="2245">
        <f>INDEX(PT_DIFFERENTIATION_TER,MATCH(B3,PT_DIFFERENTIATION_TER_ID,0))</f>
      </c>
      <c s="2246"/>
      <c s="2246"/>
      <c s="2246"/>
      <c s="2246"/>
      <c s="2246"/>
      <c s="2246"/>
      <c s="2246"/>
      <c s="2246"/>
      <c s="2246"/>
      <c s="2246"/>
      <c s="2247"/>
      <c s="1261" t="s">
        <v>398</v>
      </c>
      <c r="AU3" s="503"/>
      <c s="503" t="str">
        <f>IF(T3="","",T3)</f>
        <v>Территория действия тарифа</v>
      </c>
      <c s="503"/>
      <c s="503"/>
      <c s="1158">
        <v>0</v>
      </c>
    </row>
    <row r="4" spans="1:51" ht="23.25" customHeight="1" hidden="1">
      <c r="A4" s="1366"/>
      <c s="1366"/>
      <c s="1366"/>
      <c s="1366"/>
      <c s="2262"/>
      <c s="2262"/>
      <c s="2261">
        <v>1</v>
      </c>
      <c s="1366"/>
      <c s="1366"/>
      <c s="1366"/>
      <c s="1366"/>
      <c s="1367"/>
      <c s="1368"/>
      <c s="1368"/>
      <c s="1368"/>
      <c s="357"/>
      <c s="355"/>
      <c s="356"/>
      <c s="1496">
        <f>INDEX(PT_DIFFERENTIATION_NUM_CS,MATCH(C4,PT_DIFFERENTIATION_CS_ID,0))</f>
      </c>
      <c s="312" t="s">
        <v>530</v>
      </c>
      <c s="303"/>
      <c s="2245"/>
      <c s="2246"/>
      <c s="2246"/>
      <c s="2246"/>
      <c s="2246"/>
      <c s="2246"/>
      <c s="2246"/>
      <c s="2246"/>
      <c s="2246"/>
      <c s="2246"/>
      <c s="2247"/>
      <c s="2245">
        <f>INDEX(PT_DIFFERENTIATION_CS,MATCH(C4,PT_DIFFERENTIATION_CS_ID,0))</f>
      </c>
      <c s="2246"/>
      <c s="2246"/>
      <c s="2246"/>
      <c s="2246"/>
      <c s="2246"/>
      <c s="2246"/>
      <c s="2246"/>
      <c s="2246"/>
      <c s="2246"/>
      <c s="2246"/>
      <c s="2247"/>
      <c s="1261" t="s">
        <v>531</v>
      </c>
      <c r="AU4" s="503"/>
      <c s="503" t="str">
        <f>IF(T4="","",T4)</f>
        <v>Наименование централизованной системы горячего водоснабжения</v>
      </c>
      <c s="503"/>
      <c s="503"/>
      <c s="1158">
        <v>0</v>
      </c>
    </row>
    <row r="5" spans="1:51" ht="23.25" customHeight="1" hidden="1">
      <c r="A5" s="1366"/>
      <c s="1366"/>
      <c s="1366"/>
      <c s="1366"/>
      <c s="2262"/>
      <c s="2262"/>
      <c s="2262"/>
      <c s="2262"/>
      <c s="2259">
        <f>S4&amp;".1"</f>
      </c>
      <c s="1366"/>
      <c s="1366"/>
      <c s="1367"/>
      <c r="P5" s="2260">
        <v>1</v>
      </c>
      <c s="1484"/>
      <c s="359"/>
      <c s="1496">
        <f>$I5</f>
      </c>
      <c s="288" t="s">
        <v>483</v>
      </c>
      <c s="303"/>
      <c s="2353"/>
      <c s="2354"/>
      <c s="2354"/>
      <c s="2354"/>
      <c s="2354"/>
      <c s="2354"/>
      <c s="2354"/>
      <c s="2354"/>
      <c s="2354"/>
      <c s="2354"/>
      <c s="2355"/>
      <c s="2356"/>
      <c s="2357"/>
      <c s="2357"/>
      <c s="2357"/>
      <c s="2357"/>
      <c s="2357"/>
      <c s="2357"/>
      <c s="2357"/>
      <c s="2357"/>
      <c s="2357"/>
      <c s="2357"/>
      <c s="2358"/>
      <c s="1261" t="s">
        <v>484</v>
      </c>
      <c r="AU5" s="503"/>
      <c s="503" t="str">
        <f>IF(T5="","",T5)</f>
        <v>Наименование признака дифференциации</v>
      </c>
      <c s="503"/>
      <c s="503"/>
      <c s="1158">
        <v>0</v>
      </c>
    </row>
    <row r="6" spans="1:51" ht="23.25" customHeight="1" hidden="1">
      <c r="A6" s="1366"/>
      <c s="1366"/>
      <c s="1366"/>
      <c s="1366"/>
      <c s="2262"/>
      <c s="2262"/>
      <c s="2262"/>
      <c s="2262"/>
      <c s="2289"/>
      <c s="2259">
        <f>I5&amp;".1"</f>
      </c>
      <c s="1366"/>
      <c s="1367" t="s">
        <v>406</v>
      </c>
      <c r="P6" s="2260"/>
      <c s="2260">
        <v>1</v>
      </c>
      <c s="360"/>
      <c s="1496">
        <f>$J6</f>
      </c>
      <c s="289" t="s">
        <v>407</v>
      </c>
      <c s="303"/>
      <c s="2248"/>
      <c s="2249"/>
      <c s="2249"/>
      <c s="2249"/>
      <c s="2249"/>
      <c s="2249"/>
      <c s="2249"/>
      <c s="2249"/>
      <c s="2249"/>
      <c s="2249"/>
      <c s="2250"/>
      <c s="2248"/>
      <c s="2249"/>
      <c s="2249"/>
      <c s="2249"/>
      <c s="2249"/>
      <c s="2249"/>
      <c s="2249"/>
      <c s="2249"/>
      <c s="2249"/>
      <c s="2249"/>
      <c s="2249"/>
      <c s="2250"/>
      <c s="1310" t="s">
        <v>485</v>
      </c>
      <c r="AU6" s="503"/>
      <c s="503" t="str">
        <f>IF(T6="","",T6)</f>
        <v>Группа потребителей</v>
      </c>
      <c s="503"/>
      <c s="503"/>
      <c s="1158">
        <v>0</v>
      </c>
    </row>
    <row r="7" spans="1:51" ht="23.25" customHeight="1" hidden="1">
      <c r="A7" s="1366"/>
      <c s="1366"/>
      <c s="1366"/>
      <c s="1366"/>
      <c s="2262"/>
      <c s="2262"/>
      <c s="2262"/>
      <c s="2262"/>
      <c s="2289"/>
      <c s="2289"/>
      <c s="2259">
        <f>J6&amp;".1"</f>
      </c>
      <c s="1367"/>
      <c r="P7" s="2260"/>
      <c s="2260"/>
      <c s="360">
        <v>1</v>
      </c>
      <c s="1496">
        <f>$K7</f>
      </c>
      <c s="1440"/>
      <c s="303"/>
      <c s="754"/>
      <c s="754"/>
      <c s="754"/>
      <c s="754"/>
      <c s="754"/>
      <c s="754"/>
      <c s="1260"/>
      <c s="2268"/>
      <c s="2110" t="s">
        <v>65</v>
      </c>
      <c s="2268"/>
      <c s="2110" t="s">
        <v>65</v>
      </c>
      <c s="754"/>
      <c s="754"/>
      <c s="754"/>
      <c s="754"/>
      <c s="754"/>
      <c s="754"/>
      <c s="1260"/>
      <c s="2268"/>
      <c s="2110" t="s">
        <v>65</v>
      </c>
      <c s="2290"/>
      <c s="2110" t="s">
        <v>65</v>
      </c>
      <c s="1441"/>
      <c s="235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s="514">
        <f>STRCHECKDATE(V8:AR8)</f>
      </c>
      <c s="503"/>
      <c s="503" t="str">
        <f>IF(T7="","",T7)</f>
        <v/>
      </c>
      <c s="503"/>
      <c s="503"/>
      <c s="1158">
        <v>0</v>
      </c>
    </row>
    <row r="8" spans="1:51" ht="14.25" customHeight="1" hidden="1">
      <c r="A8" s="1366"/>
      <c s="1366"/>
      <c s="1366"/>
      <c s="1366"/>
      <c s="2262"/>
      <c s="2262"/>
      <c s="2262"/>
      <c s="2262"/>
      <c s="2289"/>
      <c s="2289"/>
      <c s="2259"/>
      <c s="1367"/>
      <c r="P8" s="2260"/>
      <c s="2260"/>
      <c s="360"/>
      <c s="1493"/>
      <c s="303"/>
      <c s="303"/>
      <c s="328"/>
      <c s="328"/>
      <c s="328"/>
      <c s="328"/>
      <c s="328"/>
      <c s="328"/>
      <c s="331" t="str">
        <f>AC7&amp;"-"&amp;AE7</f>
        <v>-</v>
      </c>
      <c s="2269"/>
      <c s="2110"/>
      <c s="2269"/>
      <c s="2110"/>
      <c s="328"/>
      <c s="328"/>
      <c s="328"/>
      <c s="328"/>
      <c s="328"/>
      <c s="328"/>
      <c s="331" t="str">
        <f>AN7&amp;"-"&amp;AP7</f>
        <v>-</v>
      </c>
      <c s="2269"/>
      <c s="2110"/>
      <c s="2291"/>
      <c s="2110"/>
      <c s="1442"/>
      <c s="2352"/>
      <c r="AU8" s="503"/>
      <c s="503" t="str">
        <f>IF(T8="","",T8)</f>
        <v/>
      </c>
      <c s="503"/>
      <c s="503"/>
      <c s="1158">
        <v>0</v>
      </c>
    </row>
    <row r="9" spans="1:51" ht="21" customHeight="1" hidden="1">
      <c r="A9" s="1366"/>
      <c s="1366"/>
      <c s="1366"/>
      <c s="1366"/>
      <c s="2262"/>
      <c s="2262"/>
      <c s="2262"/>
      <c s="2262"/>
      <c s="2289"/>
      <c s="2259"/>
      <c s="1366"/>
      <c s="1367"/>
      <c r="P9" s="2260"/>
      <c s="2260"/>
      <c s="359"/>
      <c s="1281"/>
      <c s="290" t="s">
        <v>486</v>
      </c>
      <c s="370"/>
      <c s="370"/>
      <c s="603"/>
      <c s="603"/>
      <c s="603"/>
      <c s="603"/>
      <c s="603"/>
      <c s="370"/>
      <c s="370"/>
      <c s="370"/>
      <c s="370"/>
      <c s="370"/>
      <c s="370"/>
      <c s="603"/>
      <c s="603"/>
      <c s="603"/>
      <c s="603"/>
      <c s="603"/>
      <c s="370"/>
      <c s="370"/>
      <c s="370"/>
      <c s="370"/>
      <c s="370"/>
      <c s="370"/>
      <c s="1261" t="s">
        <v>487</v>
      </c>
      <c r="AU9" s="503"/>
      <c s="503" t="str">
        <f>IF(T9="","",T9)</f>
        <v>Добавить значение признака дифференциации</v>
      </c>
      <c s="503"/>
      <c s="503"/>
      <c s="1158">
        <v>0</v>
      </c>
    </row>
    <row r="10" spans="1:51" ht="21" customHeight="1" hidden="1">
      <c r="A10" s="1366"/>
      <c s="1366"/>
      <c s="1366"/>
      <c s="1366"/>
      <c s="2262"/>
      <c s="2262"/>
      <c s="2262"/>
      <c s="2262"/>
      <c s="2259"/>
      <c s="1366"/>
      <c s="1366"/>
      <c s="1367"/>
      <c r="P10" s="2260"/>
      <c s="1484"/>
      <c s="359"/>
      <c s="1281"/>
      <c s="368" t="s">
        <v>412</v>
      </c>
      <c s="370"/>
      <c s="370"/>
      <c s="603"/>
      <c s="603"/>
      <c s="603"/>
      <c s="603"/>
      <c s="603"/>
      <c s="370"/>
      <c s="370"/>
      <c s="370"/>
      <c s="370"/>
      <c s="369"/>
      <c s="370"/>
      <c s="603"/>
      <c s="603"/>
      <c s="603"/>
      <c s="603"/>
      <c s="603"/>
      <c s="370"/>
      <c s="370"/>
      <c s="370"/>
      <c s="370"/>
      <c s="369"/>
      <c s="370"/>
      <c s="1443"/>
      <c r="AU10" s="503"/>
      <c s="503" t="str">
        <f>IF(T10="","",T10)</f>
        <v>Добавить группу потребителей</v>
      </c>
      <c s="503"/>
      <c s="503"/>
      <c s="1158">
        <v>0</v>
      </c>
    </row>
    <row r="11" spans="1:51" ht="21" customHeight="1" hidden="1">
      <c r="A11" s="1366"/>
      <c s="1366"/>
      <c s="1366"/>
      <c s="1366"/>
      <c s="2262"/>
      <c s="2262"/>
      <c s="2262"/>
      <c s="2261"/>
      <c s="1366"/>
      <c s="1366"/>
      <c s="1366"/>
      <c s="1367"/>
      <c s="1368"/>
      <c s="1368"/>
      <c s="540"/>
      <c s="363"/>
      <c s="378"/>
      <c s="358"/>
      <c s="1281"/>
      <c s="375" t="s">
        <v>488</v>
      </c>
      <c s="370"/>
      <c s="370"/>
      <c s="603"/>
      <c s="603"/>
      <c s="603"/>
      <c s="603"/>
      <c s="603"/>
      <c s="370"/>
      <c s="370"/>
      <c s="370"/>
      <c s="370"/>
      <c s="369"/>
      <c s="370"/>
      <c s="603"/>
      <c s="603"/>
      <c s="603"/>
      <c s="603"/>
      <c s="603"/>
      <c s="370"/>
      <c s="370"/>
      <c s="370"/>
      <c s="370"/>
      <c s="369"/>
      <c s="370"/>
      <c s="306"/>
      <c r="AU11" s="503"/>
      <c s="503" t="str">
        <f>IF(T11="","",T11)</f>
        <v>Добавить наименование признака дифференциации</v>
      </c>
      <c s="503"/>
      <c s="503"/>
      <c s="1158">
        <v>0</v>
      </c>
    </row>
    <row r="12" spans="1:51" s="1645" customFormat="1" ht="14.25" customHeight="1" hidden="1">
      <c r="A12" s="1346"/>
      <c s="1346"/>
      <c s="1317"/>
      <c s="1317"/>
      <c s="2262"/>
      <c s="2261"/>
      <c s="1317"/>
      <c s="1317"/>
      <c s="1317"/>
      <c s="1317"/>
      <c s="1317"/>
      <c s="1497"/>
      <c s="1324"/>
      <c s="1324"/>
      <c r="P12" s="1319"/>
      <c s="1320"/>
      <c s="1319"/>
      <c s="1325"/>
      <c s="1328" t="s">
        <v>415</v>
      </c>
      <c s="1327"/>
      <c s="1327"/>
      <c s="1327"/>
      <c s="1327"/>
      <c s="1327"/>
      <c s="1327"/>
      <c s="1327"/>
      <c s="1327"/>
      <c s="1327"/>
      <c s="1327"/>
      <c s="1327"/>
      <c s="1327"/>
      <c s="1327"/>
      <c s="1327"/>
      <c s="1327"/>
      <c s="1327"/>
      <c s="1327"/>
      <c s="1327"/>
      <c s="1327"/>
      <c s="1327"/>
      <c s="1327"/>
      <c s="1327"/>
      <c s="1327"/>
      <c s="1327"/>
      <c s="1327"/>
      <c r="AU12" s="792"/>
      <c s="792" t="str">
        <f>IF(T12="","",T12)</f>
        <v>Добавить централизованную систему для дифференциации</v>
      </c>
      <c s="792"/>
      <c s="792"/>
      <c s="521">
        <v>0</v>
      </c>
    </row>
    <row r="13" spans="1:51" s="1645" customFormat="1" ht="14.25" customHeight="1" hidden="1">
      <c r="A13" s="1346"/>
      <c s="1346"/>
      <c s="1346"/>
      <c s="1346"/>
      <c s="2261"/>
      <c s="1346"/>
      <c s="1346"/>
      <c s="1346"/>
      <c s="1346"/>
      <c s="1346"/>
      <c s="1346"/>
      <c s="1349"/>
      <c s="1324"/>
      <c s="1324"/>
      <c s="521"/>
      <c s="383"/>
      <c s="1347"/>
      <c s="383"/>
      <c s="1325"/>
      <c s="1328" t="s">
        <v>416</v>
      </c>
      <c s="1327"/>
      <c s="1327"/>
      <c s="1327"/>
      <c s="1327"/>
      <c s="1327"/>
      <c s="1327"/>
      <c s="1327"/>
      <c s="1327"/>
      <c s="1327"/>
      <c s="1327"/>
      <c s="1327"/>
      <c s="1327"/>
      <c s="1327"/>
      <c s="1327"/>
      <c s="1327"/>
      <c s="1327"/>
      <c s="1327"/>
      <c s="1327"/>
      <c s="1327"/>
      <c s="1327"/>
      <c s="1327"/>
      <c s="1327"/>
      <c s="1327"/>
      <c s="1327"/>
      <c s="1327"/>
      <c r="AU13" s="503"/>
      <c s="503" t="str">
        <f>IF(T13="","",T13)</f>
        <v>Добавить территорию для дифференциации</v>
      </c>
      <c s="503"/>
      <c s="503"/>
      <c s="514">
        <v>0</v>
      </c>
    </row>
    <row r="14" spans="32:51" ht="14.25" customHeight="1" hidden="1">
      <c r="AF14" s="330"/>
      <c r="AQ14" s="330"/>
      <c r="AY14" s="1158">
        <v>0</v>
      </c>
    </row>
    <row r="15" spans="33:51" ht="14.25" customHeight="1" hidden="1">
      <c r="AG15" s="1363"/>
      <c s="1363"/>
      <c s="1363"/>
      <c s="1363"/>
      <c s="1363"/>
      <c s="1363"/>
      <c s="1364"/>
      <c s="2270"/>
      <c s="2271" t="s">
        <v>65</v>
      </c>
      <c s="2270"/>
      <c s="2271" t="s">
        <v>65</v>
      </c>
      <c r="AY15" s="1158">
        <v>0</v>
      </c>
    </row>
    <row r="16" spans="33:51" ht="14.25" customHeight="1" hidden="1">
      <c r="AG16" s="1363"/>
      <c s="1363"/>
      <c s="1363"/>
      <c s="1363"/>
      <c s="1363"/>
      <c s="1363"/>
      <c s="331" t="str">
        <f>AN15&amp;"-"&amp;AP15</f>
        <v>-</v>
      </c>
      <c s="2271"/>
      <c s="2271"/>
      <c s="2271"/>
      <c s="2271"/>
      <c r="AY16" s="1158">
        <v>0</v>
      </c>
    </row>
    <row r="17" spans="43:51" ht="14.25" customHeight="1" hidden="1">
      <c r="AQ17" s="330"/>
      <c r="AY17" s="1158">
        <v>0</v>
      </c>
    </row>
    <row r="18" spans="12:51" s="1369" customFormat="1" ht="22.5" customHeight="1" hidden="1">
      <c r="L18" s="1481"/>
      <c s="1365"/>
      <c s="1365"/>
      <c s="1370" t="s">
        <v>417</v>
      </c>
      <c s="1365"/>
      <c s="1374"/>
      <c s="1374"/>
      <c s="732"/>
      <c r="W18" s="1369"/>
      <c s="1369"/>
      <c s="1369"/>
      <c s="1369"/>
      <c s="1369"/>
      <c r="AC18" s="1370"/>
      <c r="AE18" s="1370"/>
      <c s="1369"/>
      <c r="AH18" s="1369"/>
      <c s="1369"/>
      <c s="1369"/>
      <c s="1369"/>
      <c s="1369"/>
      <c r="AN18" s="1370"/>
      <c r="AP18" s="1370"/>
      <c s="1369"/>
      <c r="AT18" s="514"/>
      <c s="514"/>
      <c s="514"/>
      <c s="514"/>
      <c s="514"/>
      <c s="1163">
        <v>0</v>
      </c>
    </row>
    <row r="19" spans="12:51" s="1369" customFormat="1" ht="14.25" customHeight="1" hidden="1">
      <c r="L19" s="1481"/>
      <c s="1365"/>
      <c s="1365"/>
      <c s="1365"/>
      <c s="1365"/>
      <c s="1374"/>
      <c s="1374"/>
      <c s="732"/>
      <c r="W19" s="1369"/>
      <c s="1369"/>
      <c s="1369"/>
      <c s="1369"/>
      <c s="1369"/>
      <c r="AF19" s="1369"/>
      <c r="AH19" s="1369"/>
      <c s="1369"/>
      <c s="1369"/>
      <c s="1369"/>
      <c s="1369"/>
      <c r="AQ19" s="1369"/>
      <c r="AT19" s="514"/>
      <c s="514"/>
      <c s="514"/>
      <c s="514"/>
      <c s="514"/>
      <c s="1163">
        <v>0</v>
      </c>
    </row>
    <row r="20" spans="12:51" s="1369" customFormat="1" ht="12" customHeight="1" hidden="1">
      <c r="L20" s="1481"/>
      <c s="1365"/>
      <c s="1365"/>
      <c s="1367" t="s">
        <v>418</v>
      </c>
      <c s="1365"/>
      <c s="1445"/>
      <c s="1445"/>
      <c s="732"/>
      <c s="1163" t="s">
        <v>419</v>
      </c>
      <c r="W20" s="1369"/>
      <c s="1369"/>
      <c s="1369"/>
      <c s="1369"/>
      <c s="1369"/>
      <c r="AD20" s="189" t="s">
        <v>420</v>
      </c>
      <c r="AF20" s="189" t="s">
        <v>421</v>
      </c>
      <c s="1163" t="s">
        <v>419</v>
      </c>
      <c s="1369"/>
      <c s="1369"/>
      <c s="1369"/>
      <c s="1369"/>
      <c s="1369"/>
      <c r="AO20" s="189" t="s">
        <v>422</v>
      </c>
      <c r="AQ20" s="189" t="s">
        <v>421</v>
      </c>
      <c r="AY20" s="1163">
        <v>0</v>
      </c>
    </row>
    <row r="21" spans="15:15 51:51" ht="14.25" customHeight="1" hidden="1">
      <c r="O21" s="1367"/>
      <c r="AY21" s="1158">
        <v>0</v>
      </c>
    </row>
    <row r="22" spans="15:15 51:51" ht="14.25" customHeight="1" hidden="1">
      <c r="O22" s="1367"/>
      <c r="AY22" s="1158">
        <v>0</v>
      </c>
    </row>
    <row r="23" spans="17:51" ht="14.7" customHeight="1">
      <c r="Q23" s="379"/>
      <c s="379"/>
      <c s="1278"/>
      <c s="366"/>
      <c s="366"/>
      <c s="512"/>
      <c s="1638"/>
      <c s="1638"/>
      <c s="1638"/>
      <c s="1638"/>
      <c s="1638"/>
      <c s="512"/>
      <c s="512"/>
      <c s="512"/>
      <c s="512"/>
      <c s="512"/>
      <c s="512"/>
      <c s="1638"/>
      <c s="1638"/>
      <c s="1638"/>
      <c s="1638"/>
      <c s="1638"/>
      <c s="512"/>
      <c s="512"/>
      <c s="512"/>
      <c s="512"/>
      <c s="512"/>
      <c r="AY23" s="1158">
        <v>14</v>
      </c>
    </row>
    <row r="24" spans="17:51" ht="26.25" customHeight="1">
      <c r="Q24" s="379"/>
      <c s="379"/>
      <c s="2251"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s="2251"/>
      <c s="2251"/>
      <c s="2251"/>
      <c s="2251"/>
      <c s="2251"/>
      <c s="2251"/>
      <c s="2251"/>
      <c s="2251"/>
      <c s="2251"/>
      <c s="2251"/>
      <c s="2251"/>
      <c s="2251"/>
      <c s="2251"/>
      <c s="2251"/>
      <c s="2251"/>
      <c s="2251"/>
      <c s="2251"/>
      <c s="2251"/>
      <c s="2251"/>
      <c s="2251"/>
      <c s="2251"/>
      <c s="2251"/>
      <c s="2251"/>
      <c s="1246"/>
      <c r="AY24" s="1158">
        <v>25</v>
      </c>
    </row>
    <row r="25" spans="17:51" ht="14.7" customHeight="1">
      <c r="Q25" s="379"/>
      <c s="379"/>
      <c s="2252" t="str">
        <f>IF(org=0,"Не определено",org)</f>
        <v>ГУП КК "Кубаньводкомплекс"</v>
      </c>
      <c s="2252"/>
      <c s="2252"/>
      <c s="2252"/>
      <c s="2252"/>
      <c s="2252"/>
      <c s="2252"/>
      <c s="2252"/>
      <c s="2252"/>
      <c s="2252"/>
      <c s="2252"/>
      <c s="2252"/>
      <c s="2252"/>
      <c s="2252"/>
      <c s="2252"/>
      <c s="2252"/>
      <c s="2252"/>
      <c s="2252"/>
      <c s="2252"/>
      <c s="2252"/>
      <c s="2252"/>
      <c s="2252"/>
      <c s="2252"/>
      <c s="2252"/>
      <c s="1246"/>
      <c r="AY25" s="1158">
        <v>14</v>
      </c>
    </row>
    <row r="26" spans="17:51" ht="14.25" customHeight="1" hidden="1">
      <c r="Q26" s="379"/>
      <c s="379"/>
      <c s="1278"/>
      <c s="366"/>
      <c s="366"/>
      <c s="325"/>
      <c s="325"/>
      <c s="325"/>
      <c s="325"/>
      <c s="325"/>
      <c s="325"/>
      <c s="325"/>
      <c s="325"/>
      <c s="325"/>
      <c s="325"/>
      <c s="325"/>
      <c s="325"/>
      <c s="325"/>
      <c s="325"/>
      <c s="325"/>
      <c s="325"/>
      <c s="325"/>
      <c s="325"/>
      <c s="325"/>
      <c s="325"/>
      <c s="325"/>
      <c s="325"/>
      <c s="512"/>
      <c r="AY26" s="1158">
        <v>0</v>
      </c>
    </row>
    <row r="27" spans="1:51" s="1856" customFormat="1" ht="25.5" customHeight="1" hidden="1">
      <c r="A27" s="1371"/>
      <c s="1371"/>
      <c s="1371"/>
      <c s="1371"/>
      <c s="1371"/>
      <c s="1371"/>
      <c s="1371"/>
      <c s="1371"/>
      <c s="1371"/>
      <c s="1371"/>
      <c s="1371"/>
      <c s="1372"/>
      <c s="1371"/>
      <c s="1371"/>
      <c s="1371"/>
      <c r="S27" s="2253" t="s">
        <v>42</v>
      </c>
      <c s="2253"/>
      <c s="1375"/>
      <c s="2254" t="str">
        <f>IF(TITLE_NAME_OR_PR_CHANGE="",IF(TITLE_NAME_OR_PR="","",TITLE_NAME_OR_PR),TITLE_NAME_OR_PR_CHANGE)</f>
        <v/>
      </c>
      <c s="2254"/>
      <c s="2254"/>
      <c s="2254"/>
      <c s="2254"/>
      <c s="2254"/>
      <c s="2254"/>
      <c s="2254"/>
      <c s="2254"/>
      <c s="2254"/>
      <c s="329"/>
      <c s="2254" t="str">
        <f>IF(TITLE_NAME_OR_PR_CHANGE="",IF(TITLE_NAME_OR_PR="","",TITLE_NAME_OR_PR),TITLE_NAME_OR_PR_CHANGE)</f>
        <v/>
      </c>
      <c s="2254"/>
      <c s="2254"/>
      <c s="2254"/>
      <c s="2254"/>
      <c s="2254"/>
      <c s="2254"/>
      <c s="2254"/>
      <c s="2254"/>
      <c s="2254"/>
      <c s="329"/>
      <c s="329"/>
      <c s="283"/>
      <c s="371"/>
      <c s="371"/>
      <c s="371"/>
      <c s="371"/>
      <c s="371"/>
      <c s="421">
        <v>0</v>
      </c>
    </row>
    <row r="28" spans="1:51" s="1856" customFormat="1" ht="18.75" customHeight="1" hidden="1">
      <c r="A28" s="1371"/>
      <c s="1371"/>
      <c s="1371"/>
      <c s="1371"/>
      <c s="1371"/>
      <c s="1371"/>
      <c s="1371"/>
      <c s="1371"/>
      <c s="1371"/>
      <c s="1371"/>
      <c s="1371"/>
      <c s="1372"/>
      <c s="1371"/>
      <c s="1371"/>
      <c s="1371"/>
      <c r="S28" s="2253" t="s">
        <v>423</v>
      </c>
      <c s="2253"/>
      <c s="1375"/>
      <c s="2267" t="str">
        <f>IF(TITLE_DATE_PR_CHANGE="",IF(TITLE_DATE_PR="","",TITLE_DATE_PR),TITLE_DATE_PR_CHANGE)</f>
        <v/>
      </c>
      <c s="2267"/>
      <c s="2267"/>
      <c s="2267"/>
      <c s="2267"/>
      <c s="2267"/>
      <c s="2267"/>
      <c s="2267"/>
      <c s="2267"/>
      <c s="2267"/>
      <c s="329"/>
      <c s="2267" t="str">
        <f>IF(TITLE_DATE_PR_CHANGE="",IF(TITLE_DATE_PR="","",TITLE_DATE_PR),TITLE_DATE_PR_CHANGE)</f>
        <v/>
      </c>
      <c s="2267"/>
      <c s="2267"/>
      <c s="2267"/>
      <c s="2267"/>
      <c s="2267"/>
      <c s="2267"/>
      <c s="2267"/>
      <c s="2267"/>
      <c s="2267"/>
      <c s="329"/>
      <c s="329"/>
      <c s="283"/>
      <c s="371"/>
      <c s="371"/>
      <c s="371"/>
      <c s="371"/>
      <c s="371"/>
      <c s="421">
        <v>0</v>
      </c>
    </row>
    <row r="29" spans="1:51" s="1856" customFormat="1" ht="18.75" customHeight="1" hidden="1">
      <c r="A29" s="1371"/>
      <c s="1371"/>
      <c s="1371"/>
      <c s="1371"/>
      <c s="1371"/>
      <c s="1371"/>
      <c s="1371"/>
      <c s="1371"/>
      <c s="1371"/>
      <c s="1371"/>
      <c s="1371"/>
      <c s="1372"/>
      <c s="1371"/>
      <c s="1371"/>
      <c s="1371"/>
      <c r="S29" s="2253" t="s">
        <v>424</v>
      </c>
      <c s="2253"/>
      <c s="1375"/>
      <c s="2254" t="str">
        <f>IF(TITLE_NUMBER_PR_CHANGE="",IF(TITLE_NUMBER_PR="","",TITLE_NUMBER_PR),TITLE_NUMBER_PR_CHANGE)</f>
        <v/>
      </c>
      <c s="2254"/>
      <c s="2254"/>
      <c s="2254"/>
      <c s="2254"/>
      <c s="2254"/>
      <c s="2254"/>
      <c s="2254"/>
      <c s="2254"/>
      <c s="2254"/>
      <c s="329"/>
      <c s="2254" t="str">
        <f>IF(TITLE_NUMBER_PR_CHANGE="",IF(TITLE_NUMBER_PR="","",TITLE_NUMBER_PR),TITLE_NUMBER_PR_CHANGE)</f>
        <v/>
      </c>
      <c s="2254"/>
      <c s="2254"/>
      <c s="2254"/>
      <c s="2254"/>
      <c s="2254"/>
      <c s="2254"/>
      <c s="2254"/>
      <c s="2254"/>
      <c s="2254"/>
      <c s="329"/>
      <c s="329"/>
      <c s="283"/>
      <c s="371"/>
      <c s="371"/>
      <c s="371"/>
      <c s="371"/>
      <c s="371"/>
      <c s="421">
        <v>0</v>
      </c>
    </row>
    <row r="30" spans="1:51" s="1856" customFormat="1" ht="18.75" customHeight="1" hidden="1">
      <c r="A30" s="1371"/>
      <c s="1371"/>
      <c s="1371"/>
      <c s="1371"/>
      <c s="1371"/>
      <c s="1371"/>
      <c s="1371"/>
      <c s="1371"/>
      <c s="1371"/>
      <c s="1371"/>
      <c s="1371"/>
      <c s="1372"/>
      <c s="1371"/>
      <c s="1371"/>
      <c s="1371"/>
      <c r="S30" s="2253" t="s">
        <v>43</v>
      </c>
      <c s="2253"/>
      <c s="1375"/>
      <c s="2254" t="str">
        <f>IF(TITLE_IST_PUB_CHANGE="",IF(TITLE_IST_PUB="","",TITLE_IST_PUB),TITLE_IST_PUB_CHANGE)</f>
        <v/>
      </c>
      <c s="2254"/>
      <c s="2254"/>
      <c s="2254"/>
      <c s="2254"/>
      <c s="2254"/>
      <c s="2254"/>
      <c s="2254"/>
      <c s="2254"/>
      <c s="2254"/>
      <c s="329"/>
      <c s="2254" t="str">
        <f>IF(TITLE_IST_PUB_CHANGE="",IF(TITLE_IST_PUB="","",TITLE_IST_PUB),TITLE_IST_PUB_CHANGE)</f>
        <v/>
      </c>
      <c s="2254"/>
      <c s="2254"/>
      <c s="2254"/>
      <c s="2254"/>
      <c s="2254"/>
      <c s="2254"/>
      <c s="2254"/>
      <c s="2254"/>
      <c s="2254"/>
      <c s="329"/>
      <c s="329"/>
      <c s="283"/>
      <c s="371"/>
      <c s="371"/>
      <c s="371"/>
      <c s="371"/>
      <c s="371"/>
      <c s="421">
        <v>0</v>
      </c>
    </row>
    <row r="31" spans="17:51" ht="14.25" customHeight="1" hidden="1">
      <c r="Q31" s="379"/>
      <c s="379"/>
      <c s="1278"/>
      <c s="366"/>
      <c s="366"/>
      <c s="325"/>
      <c s="325"/>
      <c s="325"/>
      <c s="325"/>
      <c s="325"/>
      <c s="325"/>
      <c s="325"/>
      <c s="325"/>
      <c s="325"/>
      <c s="325"/>
      <c s="325"/>
      <c s="325"/>
      <c s="325"/>
      <c s="325"/>
      <c s="325"/>
      <c s="325"/>
      <c s="325"/>
      <c s="325"/>
      <c s="325"/>
      <c s="325"/>
      <c s="325"/>
      <c s="325"/>
      <c s="512"/>
      <c r="AY31" s="1158">
        <v>0</v>
      </c>
    </row>
    <row r="32" spans="1:51" s="1856" customFormat="1" ht="18.75" customHeight="1" hidden="1">
      <c r="A32" s="1371"/>
      <c s="1371"/>
      <c s="1371"/>
      <c s="1371"/>
      <c s="1371"/>
      <c s="1371"/>
      <c s="1371"/>
      <c s="1371"/>
      <c s="1371"/>
      <c s="1371"/>
      <c s="1371"/>
      <c s="1372"/>
      <c s="1371"/>
      <c s="1371"/>
      <c s="1371"/>
      <c r="S32" s="2253" t="s">
        <v>425</v>
      </c>
      <c s="2253"/>
      <c s="1375"/>
      <c s="2267" t="str">
        <f>IF(TITLE_DATE_PR_CHANGE="",IF(TITLE_DATE_PR="","",TITLE_DATE_PR),TITLE_DATE_PR_CHANGE)</f>
        <v/>
      </c>
      <c s="2267"/>
      <c s="2267"/>
      <c s="2267"/>
      <c s="2267"/>
      <c s="2267"/>
      <c s="2267"/>
      <c s="2267"/>
      <c s="2267"/>
      <c s="2267"/>
      <c s="329"/>
      <c s="2267" t="str">
        <f>IF(TITLE_DATE_PR_CHANGE="",IF(TITLE_DATE_PR="","",TITLE_DATE_PR),TITLE_DATE_PR_CHANGE)</f>
        <v/>
      </c>
      <c s="2267"/>
      <c s="2267"/>
      <c s="2267"/>
      <c s="2267"/>
      <c s="2267"/>
      <c s="2267"/>
      <c s="2267"/>
      <c s="2267"/>
      <c s="2267"/>
      <c s="329"/>
      <c s="329"/>
      <c s="283"/>
      <c s="371"/>
      <c s="371"/>
      <c s="371"/>
      <c s="371"/>
      <c s="371"/>
      <c s="421">
        <v>0</v>
      </c>
    </row>
    <row r="33" spans="1:51" s="1856" customFormat="1" ht="18.75" customHeight="1" hidden="1">
      <c r="A33" s="1371"/>
      <c s="1371"/>
      <c s="1371"/>
      <c s="1371"/>
      <c s="1371"/>
      <c s="1371"/>
      <c s="1371"/>
      <c s="1371"/>
      <c s="1371"/>
      <c s="1371"/>
      <c s="1371"/>
      <c s="1372"/>
      <c s="1371"/>
      <c s="1371"/>
      <c s="1371"/>
      <c r="S33" s="2253" t="s">
        <v>426</v>
      </c>
      <c s="2253"/>
      <c s="1375"/>
      <c s="2254" t="str">
        <f>IF(TITLE_NUMBER_PR_CHANGE="",IF(TITLE_NUMBER_PR="","",TITLE_NUMBER_PR),TITLE_NUMBER_PR_CHANGE)</f>
        <v/>
      </c>
      <c s="2254"/>
      <c s="2254"/>
      <c s="2254"/>
      <c s="2254"/>
      <c s="2254"/>
      <c s="2254"/>
      <c s="2254"/>
      <c s="2254"/>
      <c s="2254"/>
      <c s="329"/>
      <c s="2254" t="str">
        <f>IF(TITLE_NUMBER_PR_CHANGE="",IF(TITLE_NUMBER_PR="","",TITLE_NUMBER_PR),TITLE_NUMBER_PR_CHANGE)</f>
        <v/>
      </c>
      <c s="2254"/>
      <c s="2254"/>
      <c s="2254"/>
      <c s="2254"/>
      <c s="2254"/>
      <c s="2254"/>
      <c s="2254"/>
      <c s="2254"/>
      <c s="2254"/>
      <c s="329"/>
      <c s="329"/>
      <c s="283"/>
      <c s="371"/>
      <c s="371"/>
      <c s="371"/>
      <c s="371"/>
      <c s="371"/>
      <c s="421">
        <v>0</v>
      </c>
    </row>
    <row r="34" spans="1:51" s="1856" customFormat="1" ht="1.05" customHeight="1">
      <c r="A34" s="1371"/>
      <c s="1371"/>
      <c s="1371"/>
      <c s="1371"/>
      <c s="1371"/>
      <c s="1371"/>
      <c s="1371"/>
      <c s="1371"/>
      <c s="1371"/>
      <c s="1371"/>
      <c s="1371"/>
      <c s="1372"/>
      <c s="1371"/>
      <c s="1371"/>
      <c s="1371"/>
      <c r="S34" s="326"/>
      <c s="326"/>
      <c s="1491"/>
      <c s="329"/>
      <c s="1638"/>
      <c s="1638"/>
      <c s="1638"/>
      <c s="1638"/>
      <c s="1638"/>
      <c s="329"/>
      <c s="329"/>
      <c s="329"/>
      <c s="329"/>
      <c s="281" t="s">
        <v>427</v>
      </c>
      <c s="329"/>
      <c s="1638"/>
      <c s="1638"/>
      <c s="1638"/>
      <c s="1638"/>
      <c s="1638"/>
      <c s="329"/>
      <c s="329"/>
      <c s="329"/>
      <c s="329"/>
      <c s="281" t="s">
        <v>427</v>
      </c>
      <c r="AT34" s="371"/>
      <c s="371"/>
      <c s="371"/>
      <c s="371"/>
      <c s="371"/>
      <c s="421">
        <v>1</v>
      </c>
    </row>
    <row r="35" spans="17:51" ht="14.7" customHeight="1">
      <c r="Q35" s="379"/>
      <c s="379"/>
      <c s="1278"/>
      <c s="366"/>
      <c s="1247"/>
      <c s="2255"/>
      <c s="2255"/>
      <c s="2255"/>
      <c s="2255"/>
      <c s="2255"/>
      <c s="2255"/>
      <c s="2255"/>
      <c s="2255"/>
      <c s="2255"/>
      <c s="2255"/>
      <c s="2255"/>
      <c s="2255"/>
      <c s="2255"/>
      <c s="2255"/>
      <c s="2255"/>
      <c s="2255"/>
      <c s="2255"/>
      <c s="2255"/>
      <c s="2255"/>
      <c s="2255"/>
      <c s="2255"/>
      <c s="2255"/>
      <c r="AY35" s="1158">
        <v>14</v>
      </c>
    </row>
    <row r="36" spans="17:51" ht="14.7" customHeight="1">
      <c r="Q36" s="379"/>
      <c s="379"/>
      <c s="2130" t="s">
        <v>300</v>
      </c>
      <c s="2130"/>
      <c s="2130"/>
      <c s="2130"/>
      <c s="2130"/>
      <c s="2130"/>
      <c s="2130"/>
      <c s="2130"/>
      <c s="2130"/>
      <c s="2130"/>
      <c s="2130"/>
      <c s="2130"/>
      <c s="2130"/>
      <c s="2130"/>
      <c s="2130"/>
      <c s="2130"/>
      <c s="2130"/>
      <c s="2130"/>
      <c s="2130"/>
      <c s="2130"/>
      <c s="2130"/>
      <c s="2130"/>
      <c s="2130"/>
      <c s="2130"/>
      <c s="2130"/>
      <c s="2130"/>
      <c s="2130" t="s">
        <v>301</v>
      </c>
      <c r="AY36" s="1158">
        <v>14</v>
      </c>
    </row>
    <row r="37" spans="17:51" ht="14.7" customHeight="1">
      <c r="Q37" s="379"/>
      <c s="379"/>
      <c s="2276" t="s">
        <v>87</v>
      </c>
      <c s="2212" t="s">
        <v>428</v>
      </c>
      <c s="304"/>
      <c s="2277" t="s">
        <v>429</v>
      </c>
      <c s="2278"/>
      <c s="2278"/>
      <c s="2278"/>
      <c s="2278"/>
      <c s="2278"/>
      <c s="2278"/>
      <c s="2278"/>
      <c s="2278"/>
      <c s="2279"/>
      <c s="2280" t="s">
        <v>430</v>
      </c>
      <c s="2277" t="s">
        <v>429</v>
      </c>
      <c s="2278"/>
      <c s="2278"/>
      <c s="2278"/>
      <c s="2278"/>
      <c s="2278"/>
      <c s="2278"/>
      <c s="2278"/>
      <c s="2278"/>
      <c s="2279"/>
      <c s="2280" t="s">
        <v>431</v>
      </c>
      <c s="2283" t="s">
        <v>432</v>
      </c>
      <c s="2130"/>
      <c r="AY37" s="1158">
        <v>14</v>
      </c>
    </row>
    <row r="38" spans="1:51" s="1638" customFormat="1" ht="19.95" customHeight="1">
      <c r="A38" s="1369"/>
      <c s="1369"/>
      <c s="1369"/>
      <c s="1369"/>
      <c s="1369"/>
      <c s="1369"/>
      <c s="1369"/>
      <c s="1369"/>
      <c s="1369"/>
      <c s="1369"/>
      <c s="1369"/>
      <c s="1983"/>
      <c s="1365"/>
      <c s="1365"/>
      <c s="1365"/>
      <c s="1984"/>
      <c s="379"/>
      <c s="379"/>
      <c s="2276"/>
      <c s="2212"/>
      <c s="1034"/>
      <c s="2369" t="s">
        <v>532</v>
      </c>
      <c s="2368" t="s">
        <v>533</v>
      </c>
      <c s="2368"/>
      <c s="2368"/>
      <c s="2368" t="s">
        <v>534</v>
      </c>
      <c s="2368"/>
      <c s="2368"/>
      <c s="2297" t="s">
        <v>436</v>
      </c>
      <c s="2316"/>
      <c s="2317"/>
      <c s="2281"/>
      <c s="2369" t="s">
        <v>532</v>
      </c>
      <c s="2368" t="s">
        <v>533</v>
      </c>
      <c s="2368"/>
      <c s="2368"/>
      <c s="2368" t="s">
        <v>534</v>
      </c>
      <c s="2368"/>
      <c s="2368"/>
      <c s="2297" t="s">
        <v>436</v>
      </c>
      <c s="2316"/>
      <c s="2317"/>
      <c s="2281"/>
      <c s="2284"/>
      <c s="2130"/>
      <c s="1639"/>
      <c s="1639"/>
      <c s="1639"/>
      <c s="1639"/>
      <c s="1639"/>
      <c s="1634">
        <v>19</v>
      </c>
    </row>
    <row r="39" spans="17:51" ht="19.95" customHeight="1">
      <c r="Q39" s="379"/>
      <c s="379"/>
      <c s="2276"/>
      <c s="2212"/>
      <c s="1034"/>
      <c s="2369"/>
      <c s="2368" t="s">
        <v>535</v>
      </c>
      <c s="2368" t="s">
        <v>536</v>
      </c>
      <c s="2368"/>
      <c s="2368" t="s">
        <v>537</v>
      </c>
      <c s="2368" t="s">
        <v>536</v>
      </c>
      <c s="2368"/>
      <c s="2298"/>
      <c s="2318"/>
      <c s="2319"/>
      <c s="2281"/>
      <c s="2369"/>
      <c s="2368" t="s">
        <v>535</v>
      </c>
      <c s="2368" t="s">
        <v>536</v>
      </c>
      <c s="2368"/>
      <c s="2368" t="s">
        <v>537</v>
      </c>
      <c s="2368" t="s">
        <v>536</v>
      </c>
      <c s="2368"/>
      <c s="2298"/>
      <c s="2318"/>
      <c s="2319"/>
      <c s="2281"/>
      <c s="2284"/>
      <c s="2130"/>
      <c r="AY39" s="1158">
        <v>19</v>
      </c>
    </row>
    <row r="40" spans="1:51" ht="61.95" customHeight="1">
      <c r="A40" s="1373"/>
      <c s="1373" t="s">
        <v>137</v>
      </c>
      <c s="1373" t="s">
        <v>138</v>
      </c>
      <c s="1373" t="s">
        <v>139</v>
      </c>
      <c s="1367" t="s">
        <v>437</v>
      </c>
      <c s="1367" t="s">
        <v>438</v>
      </c>
      <c s="1367" t="s">
        <v>439</v>
      </c>
      <c s="1367"/>
      <c s="1367" t="s">
        <v>490</v>
      </c>
      <c s="1367" t="s">
        <v>442</v>
      </c>
      <c s="1367" t="s">
        <v>491</v>
      </c>
      <c s="1367" t="s">
        <v>418</v>
      </c>
      <c r="Q40" s="379"/>
      <c s="379"/>
      <c s="2276"/>
      <c s="2212"/>
      <c s="305"/>
      <c s="2369"/>
      <c s="2368"/>
      <c s="1986" t="s">
        <v>538</v>
      </c>
      <c s="1986" t="s">
        <v>539</v>
      </c>
      <c s="2368"/>
      <c s="1986" t="s">
        <v>540</v>
      </c>
      <c s="1986" t="s">
        <v>541</v>
      </c>
      <c s="1492" t="s">
        <v>446</v>
      </c>
      <c s="2273" t="s">
        <v>447</v>
      </c>
      <c s="2274"/>
      <c s="2282"/>
      <c s="2369"/>
      <c s="2368"/>
      <c s="1986" t="s">
        <v>538</v>
      </c>
      <c s="1986" t="s">
        <v>539</v>
      </c>
      <c s="2368"/>
      <c s="1986" t="s">
        <v>540</v>
      </c>
      <c s="1986" t="s">
        <v>541</v>
      </c>
      <c s="1492" t="s">
        <v>446</v>
      </c>
      <c s="2273" t="s">
        <v>447</v>
      </c>
      <c s="2274"/>
      <c s="2282"/>
      <c s="2285"/>
      <c s="2130"/>
      <c r="AY40" s="1158">
        <v>59</v>
      </c>
    </row>
    <row r="41" spans="1:51" s="1644" customFormat="1" ht="11.25" customHeight="1" hidden="1">
      <c r="A41" s="1373"/>
      <c s="1373"/>
      <c s="1373"/>
      <c s="1373"/>
      <c s="1373"/>
      <c s="1373"/>
      <c s="1373"/>
      <c s="1373"/>
      <c s="1373"/>
      <c s="1373"/>
      <c s="1373"/>
      <c s="1367"/>
      <c s="1365"/>
      <c s="1365"/>
      <c s="1365"/>
      <c s="1249"/>
      <c s="1250"/>
      <c s="1257">
        <v>1</v>
      </c>
      <c s="1280" t="s">
        <v>109</v>
      </c>
      <c s="1258" t="s">
        <v>110</v>
      </c>
      <c s="1248" t="str">
        <f ca="1">OFFSET(U41,0,-1)</f>
        <v>2</v>
      </c>
      <c s="1485">
        <f ca="1">OFFSET(V41,0,-1)+1</f>
        <v>3</v>
      </c>
      <c s="1982"/>
      <c s="1982"/>
      <c s="1982"/>
      <c s="1982"/>
      <c s="1982"/>
      <c s="1485">
        <f ca="1">OFFSET(AB41,0,-1)+1</f>
        <v>1</v>
      </c>
      <c s="1485">
        <f ca="1">OFFSET(AC41,0,-1)+1</f>
        <v>2</v>
      </c>
      <c s="2275">
        <f ca="1">OFFSET(AD41,0,-1)+1</f>
        <v>3</v>
      </c>
      <c s="2275"/>
      <c s="1485">
        <f ca="1">OFFSET(AF41,0,-2)+1</f>
        <v>4</v>
      </c>
      <c s="1485">
        <f ca="1">OFFSET(AG41,0,-1)+1</f>
        <v>5</v>
      </c>
      <c s="1982"/>
      <c s="1982"/>
      <c s="1982"/>
      <c s="1982"/>
      <c s="1982"/>
      <c s="1485">
        <f ca="1">OFFSET(AM41,0,-1)+1</f>
        <v>1</v>
      </c>
      <c s="1485">
        <f ca="1">OFFSET(AN41,0,-1)+1</f>
        <v>2</v>
      </c>
      <c s="2275">
        <f ca="1">OFFSET(AO41,0,-1)+1</f>
        <v>3</v>
      </c>
      <c s="2275"/>
      <c s="1485">
        <f ca="1">OFFSET(AQ41,0,-2)+1</f>
        <v>4</v>
      </c>
      <c s="1248">
        <f ca="1">OFFSET(AR41,0,-1)</f>
        <v>4</v>
      </c>
      <c s="1485">
        <f ca="1">OFFSET(AS41,0,-1)+1</f>
        <v>5</v>
      </c>
      <c s="514"/>
      <c s="514"/>
      <c s="514"/>
      <c s="514"/>
      <c s="514"/>
      <c s="499">
        <v>0</v>
      </c>
    </row>
    <row r="42" spans="1:51" ht="24" customHeight="1">
      <c r="A42" s="1366" t="s">
        <v>256</v>
      </c>
      <c s="1366"/>
      <c s="1366"/>
      <c s="1366"/>
      <c s="2261">
        <v>1</v>
      </c>
      <c s="1366"/>
      <c s="1366"/>
      <c s="1366"/>
      <c s="1366"/>
      <c s="1366"/>
      <c s="1366"/>
      <c s="1367"/>
      <c s="1368"/>
      <c s="1368"/>
      <c s="1368"/>
      <c s="364"/>
      <c s="363"/>
      <c s="358"/>
      <c s="1496">
        <f>INDEX(PT_DIFFERENTIATION_NUM_NTAR,MATCH(A42,PT_DIFFERENTIATION_NTAR_ID,0))</f>
        <v>0</v>
      </c>
      <c s="301" t="s">
        <v>125</v>
      </c>
      <c s="303"/>
      <c s="2245"/>
      <c s="2246"/>
      <c s="2246"/>
      <c s="2246"/>
      <c s="2246"/>
      <c s="2246"/>
      <c s="2246"/>
      <c s="2246"/>
      <c s="2246"/>
      <c s="2246"/>
      <c s="2247"/>
      <c s="2245" t="str">
        <f>INDEX(PT_DIFFERENTIATION_NTAR,MATCH(A42,PT_DIFFERENTIATION_NTAR_ID,0))</f>
        <v/>
      </c>
      <c s="2246"/>
      <c s="2246"/>
      <c s="2246"/>
      <c s="2246"/>
      <c s="2246"/>
      <c s="2246"/>
      <c s="2246"/>
      <c s="2246"/>
      <c s="2246"/>
      <c s="2246"/>
      <c s="2247"/>
      <c s="126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42" s="503"/>
      <c s="503" t="str">
        <f>IF(T42="","",T42)</f>
        <v>Наименование тарифа</v>
      </c>
      <c s="503"/>
      <c s="503"/>
      <c s="1158">
        <v>23</v>
      </c>
    </row>
    <row r="43" spans="1:51" ht="24" customHeight="1">
      <c r="A43" s="1366" t="s">
        <v>256</v>
      </c>
      <c s="1366" t="s">
        <v>257</v>
      </c>
      <c s="1366"/>
      <c s="1366"/>
      <c s="2262"/>
      <c s="2261">
        <v>1</v>
      </c>
      <c s="1366"/>
      <c s="1366"/>
      <c s="1366"/>
      <c s="1366"/>
      <c s="1366"/>
      <c s="1367"/>
      <c s="1368"/>
      <c s="1368"/>
      <c s="1368"/>
      <c s="1490"/>
      <c s="355"/>
      <c s="356"/>
      <c s="1496" t="str">
        <f>INDEX(PT_DIFFERENTIATION_NUM_TER,MATCH(B43,PT_DIFFERENTIATION_TER_ID,0))</f>
        <v>.</v>
      </c>
      <c s="311" t="s">
        <v>397</v>
      </c>
      <c s="303"/>
      <c s="2245"/>
      <c s="2246"/>
      <c s="2246"/>
      <c s="2246"/>
      <c s="2246"/>
      <c s="2246"/>
      <c s="2246"/>
      <c s="2246"/>
      <c s="2246"/>
      <c s="2246"/>
      <c s="2247"/>
      <c s="2245" t="str">
        <f>INDEX(PT_DIFFERENTIATION_TER,MATCH(B43,PT_DIFFERENTIATION_TER_ID,0))</f>
        <v/>
      </c>
      <c s="2246"/>
      <c s="2246"/>
      <c s="2246"/>
      <c s="2246"/>
      <c s="2246"/>
      <c s="2246"/>
      <c s="2246"/>
      <c s="2246"/>
      <c s="2246"/>
      <c s="2246"/>
      <c s="2247"/>
      <c s="1261" t="s">
        <v>398</v>
      </c>
      <c r="AU43" s="503"/>
      <c s="503" t="str">
        <f>IF(T43="","",T43)</f>
        <v>Территория действия тарифа</v>
      </c>
      <c s="503"/>
      <c s="503"/>
      <c s="1158">
        <v>23</v>
      </c>
    </row>
    <row r="44" spans="1:51" ht="24" customHeight="1">
      <c r="A44" s="1366" t="s">
        <v>256</v>
      </c>
      <c s="1366" t="s">
        <v>257</v>
      </c>
      <c s="1366" t="s">
        <v>258</v>
      </c>
      <c s="1366"/>
      <c s="2262"/>
      <c s="2262"/>
      <c s="2261">
        <v>1</v>
      </c>
      <c s="1366"/>
      <c s="1366"/>
      <c s="1366"/>
      <c s="1366"/>
      <c s="1367"/>
      <c s="1368"/>
      <c s="1368"/>
      <c s="1368"/>
      <c s="357"/>
      <c s="355"/>
      <c s="356"/>
      <c s="1496" t="str">
        <f>INDEX(PT_DIFFERENTIATION_NUM_CS,MATCH(C44,PT_DIFFERENTIATION_CS_ID,0))</f>
        <v>..</v>
      </c>
      <c s="312" t="s">
        <v>530</v>
      </c>
      <c s="303"/>
      <c s="2245"/>
      <c s="2246"/>
      <c s="2246"/>
      <c s="2246"/>
      <c s="2246"/>
      <c s="2246"/>
      <c s="2246"/>
      <c s="2246"/>
      <c s="2246"/>
      <c s="2246"/>
      <c s="2247"/>
      <c s="2245" t="str">
        <f>INDEX(PT_DIFFERENTIATION_CS,MATCH(C44,PT_DIFFERENTIATION_CS_ID,0))</f>
        <v/>
      </c>
      <c s="2246"/>
      <c s="2246"/>
      <c s="2246"/>
      <c s="2246"/>
      <c s="2246"/>
      <c s="2246"/>
      <c s="2246"/>
      <c s="2246"/>
      <c s="2246"/>
      <c s="2246"/>
      <c s="2247"/>
      <c s="1261" t="s">
        <v>531</v>
      </c>
      <c r="AU44" s="503"/>
      <c s="503" t="str">
        <f>IF(T44="","",T44)</f>
        <v>Наименование централизованной системы горячего водоснабжения</v>
      </c>
      <c s="503"/>
      <c s="503"/>
      <c s="1158">
        <v>23</v>
      </c>
    </row>
    <row r="45" spans="1:51" ht="24" customHeight="1">
      <c r="A45" s="1366" t="s">
        <v>256</v>
      </c>
      <c s="1366" t="s">
        <v>257</v>
      </c>
      <c s="1366" t="s">
        <v>258</v>
      </c>
      <c s="1366" t="s">
        <v>543</v>
      </c>
      <c s="2262"/>
      <c s="2262"/>
      <c s="2262"/>
      <c s="2262"/>
      <c s="2259" t="str">
        <f>S44&amp;".1"</f>
        <v>...1</v>
      </c>
      <c s="1366"/>
      <c s="1366"/>
      <c s="1367"/>
      <c r="P45" s="2260">
        <v>1</v>
      </c>
      <c s="1484"/>
      <c s="359"/>
      <c s="1496" t="str">
        <f>$I45</f>
        <v>...1</v>
      </c>
      <c s="288" t="s">
        <v>483</v>
      </c>
      <c s="303"/>
      <c s="2353"/>
      <c s="2354"/>
      <c s="2354"/>
      <c s="2354"/>
      <c s="2354"/>
      <c s="2354"/>
      <c s="2354"/>
      <c s="2354"/>
      <c s="2354"/>
      <c s="2354"/>
      <c s="2355"/>
      <c s="2356"/>
      <c s="2357"/>
      <c s="2357"/>
      <c s="2357"/>
      <c s="2357"/>
      <c s="2357"/>
      <c s="2357"/>
      <c s="2357"/>
      <c s="2357"/>
      <c s="2357"/>
      <c s="2357"/>
      <c s="2358"/>
      <c s="1261" t="s">
        <v>484</v>
      </c>
      <c r="AU45" s="503"/>
      <c s="503" t="str">
        <f>IF(T45="","",T45)</f>
        <v>Наименование признака дифференциации</v>
      </c>
      <c s="503"/>
      <c s="503"/>
      <c s="1158">
        <v>23</v>
      </c>
    </row>
    <row r="46" spans="1:51" ht="24" customHeight="1">
      <c r="A46" s="1366" t="s">
        <v>256</v>
      </c>
      <c s="1366" t="s">
        <v>257</v>
      </c>
      <c s="1366" t="s">
        <v>258</v>
      </c>
      <c s="1366" t="s">
        <v>543</v>
      </c>
      <c s="2262"/>
      <c s="2262"/>
      <c s="2262"/>
      <c s="2262"/>
      <c s="2289"/>
      <c s="2259" t="str">
        <f>I45&amp;".1"</f>
        <v>...1.1</v>
      </c>
      <c s="1366"/>
      <c s="1367" t="s">
        <v>406</v>
      </c>
      <c r="P46" s="2260"/>
      <c s="2260">
        <v>1</v>
      </c>
      <c s="360"/>
      <c s="1496" t="str">
        <f>$J46</f>
        <v>...1.1</v>
      </c>
      <c s="289" t="s">
        <v>407</v>
      </c>
      <c s="303"/>
      <c s="2248"/>
      <c s="2249"/>
      <c s="2249"/>
      <c s="2249"/>
      <c s="2249"/>
      <c s="2249"/>
      <c s="2249"/>
      <c s="2249"/>
      <c s="2249"/>
      <c s="2249"/>
      <c s="2250"/>
      <c s="2248"/>
      <c s="2249"/>
      <c s="2249"/>
      <c s="2249"/>
      <c s="2249"/>
      <c s="2249"/>
      <c s="2249"/>
      <c s="2249"/>
      <c s="2249"/>
      <c s="2249"/>
      <c s="2249"/>
      <c s="2250"/>
      <c s="1310" t="s">
        <v>485</v>
      </c>
      <c r="AU46" s="503"/>
      <c s="503" t="str">
        <f>IF(T46="","",T46)</f>
        <v>Группа потребителей</v>
      </c>
      <c s="503"/>
      <c s="503"/>
      <c s="1158">
        <v>23</v>
      </c>
    </row>
    <row r="47" spans="1:51" ht="24" customHeight="1">
      <c r="A47" s="1366" t="s">
        <v>256</v>
      </c>
      <c s="1366" t="s">
        <v>257</v>
      </c>
      <c s="1366" t="s">
        <v>258</v>
      </c>
      <c s="1366" t="s">
        <v>543</v>
      </c>
      <c s="2262"/>
      <c s="2262"/>
      <c s="2262"/>
      <c s="2262"/>
      <c s="2289"/>
      <c s="2289"/>
      <c s="2259" t="str">
        <f>J46&amp;".1"</f>
        <v>...1.1.1</v>
      </c>
      <c s="1367"/>
      <c r="P47" s="2260"/>
      <c s="2260"/>
      <c s="360">
        <v>1</v>
      </c>
      <c s="1496" t="str">
        <f>$K47</f>
        <v>...1.1.1</v>
      </c>
      <c s="1440"/>
      <c s="303"/>
      <c s="1363"/>
      <c s="1363"/>
      <c s="1363"/>
      <c s="1363"/>
      <c s="1363"/>
      <c s="1363"/>
      <c s="1364"/>
      <c s="2270"/>
      <c s="2271" t="s">
        <v>65</v>
      </c>
      <c s="2270"/>
      <c s="2271" t="s">
        <v>65</v>
      </c>
      <c s="754"/>
      <c s="754"/>
      <c s="754"/>
      <c s="754"/>
      <c s="754"/>
      <c s="754"/>
      <c s="1260"/>
      <c s="2268"/>
      <c s="2110" t="s">
        <v>65</v>
      </c>
      <c s="2290"/>
      <c s="2110" t="s">
        <v>19</v>
      </c>
      <c s="1441"/>
      <c s="235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s="514">
        <f>STRCHECKDATE(V48:AR48)</f>
      </c>
      <c s="503"/>
      <c s="503" t="str">
        <f>IF(T47="","",T47)</f>
        <v/>
      </c>
      <c s="503"/>
      <c s="503"/>
      <c s="1158">
        <v>23</v>
      </c>
    </row>
    <row r="48" spans="1:51" ht="0" customHeight="1">
      <c r="A48" s="1366" t="s">
        <v>256</v>
      </c>
      <c s="1366" t="s">
        <v>257</v>
      </c>
      <c s="1366" t="s">
        <v>258</v>
      </c>
      <c s="1366" t="s">
        <v>543</v>
      </c>
      <c s="2262"/>
      <c s="2262"/>
      <c s="2262"/>
      <c s="2262"/>
      <c s="2289"/>
      <c s="2289"/>
      <c s="2259"/>
      <c s="1367"/>
      <c r="P48" s="2260"/>
      <c s="2260"/>
      <c s="360"/>
      <c s="1493"/>
      <c s="303"/>
      <c s="303"/>
      <c s="1363"/>
      <c s="1363"/>
      <c s="1363"/>
      <c s="1363"/>
      <c s="1363"/>
      <c s="1363"/>
      <c s="331" t="str">
        <f>AC47&amp;"-"&amp;AE47</f>
        <v>-</v>
      </c>
      <c s="2271"/>
      <c s="2271"/>
      <c s="2271"/>
      <c s="2271"/>
      <c s="328"/>
      <c s="328"/>
      <c s="328"/>
      <c s="328"/>
      <c s="328"/>
      <c s="328"/>
      <c s="331" t="str">
        <f>AN47&amp;"-"&amp;AP47</f>
        <v>-</v>
      </c>
      <c s="2269"/>
      <c s="2110"/>
      <c s="2291"/>
      <c s="2110"/>
      <c s="1442"/>
      <c s="2352"/>
      <c r="AU48" s="503"/>
      <c s="503" t="str">
        <f>IF(T48="","",T48)</f>
        <v/>
      </c>
      <c s="503"/>
      <c s="503"/>
      <c s="1158">
        <v>0</v>
      </c>
    </row>
    <row r="49" spans="1:51" ht="21" customHeight="1">
      <c r="A49" s="1366" t="s">
        <v>256</v>
      </c>
      <c s="1366" t="s">
        <v>257</v>
      </c>
      <c s="1366" t="s">
        <v>258</v>
      </c>
      <c s="1366" t="s">
        <v>543</v>
      </c>
      <c s="2262"/>
      <c s="2262"/>
      <c s="2262"/>
      <c s="2262"/>
      <c s="2289"/>
      <c s="2259"/>
      <c s="1366"/>
      <c s="1367"/>
      <c r="P49" s="2260"/>
      <c s="2260"/>
      <c s="359"/>
      <c s="1281"/>
      <c s="290" t="s">
        <v>486</v>
      </c>
      <c s="370"/>
      <c s="370"/>
      <c s="603"/>
      <c s="603"/>
      <c s="603"/>
      <c s="603"/>
      <c s="603"/>
      <c s="370"/>
      <c s="370"/>
      <c s="370"/>
      <c s="370"/>
      <c s="370"/>
      <c s="370"/>
      <c s="603"/>
      <c s="603"/>
      <c s="603"/>
      <c s="603"/>
      <c s="603"/>
      <c s="370"/>
      <c s="370"/>
      <c s="370"/>
      <c s="370"/>
      <c s="370"/>
      <c s="370"/>
      <c s="1261" t="s">
        <v>487</v>
      </c>
      <c r="AU49" s="503"/>
      <c s="503" t="str">
        <f>IF(T49="","",T49)</f>
        <v>Добавить значение признака дифференциации</v>
      </c>
      <c s="503"/>
      <c s="503"/>
      <c s="1158">
        <v>20</v>
      </c>
    </row>
    <row r="50" spans="1:51" ht="22.05" customHeight="1">
      <c r="A50" s="1366" t="s">
        <v>256</v>
      </c>
      <c s="1366" t="s">
        <v>257</v>
      </c>
      <c s="1366" t="s">
        <v>258</v>
      </c>
      <c s="1366" t="s">
        <v>543</v>
      </c>
      <c s="2262"/>
      <c s="2262"/>
      <c s="2262"/>
      <c s="2262"/>
      <c s="2259"/>
      <c s="1366"/>
      <c s="1366"/>
      <c s="1367"/>
      <c r="P50" s="2260"/>
      <c s="1484"/>
      <c s="359"/>
      <c s="1281"/>
      <c s="368" t="s">
        <v>412</v>
      </c>
      <c s="370"/>
      <c s="370"/>
      <c s="603"/>
      <c s="603"/>
      <c s="603"/>
      <c s="603"/>
      <c s="603"/>
      <c s="370"/>
      <c s="370"/>
      <c s="370"/>
      <c s="370"/>
      <c s="369"/>
      <c s="370"/>
      <c s="603"/>
      <c s="603"/>
      <c s="603"/>
      <c s="603"/>
      <c s="603"/>
      <c s="370"/>
      <c s="370"/>
      <c s="370"/>
      <c s="370"/>
      <c s="369"/>
      <c s="370"/>
      <c s="1443"/>
      <c r="AU50" s="503"/>
      <c s="503" t="str">
        <f>IF(T50="","",T50)</f>
        <v>Добавить группу потребителей</v>
      </c>
      <c s="503"/>
      <c s="503"/>
      <c s="1158">
        <v>21</v>
      </c>
    </row>
    <row r="51" spans="1:51" ht="22.05" customHeight="1">
      <c r="A51" s="1366" t="s">
        <v>256</v>
      </c>
      <c s="1366" t="s">
        <v>257</v>
      </c>
      <c s="1366" t="s">
        <v>258</v>
      </c>
      <c s="1366" t="s">
        <v>543</v>
      </c>
      <c s="2262"/>
      <c s="2262"/>
      <c s="2262"/>
      <c s="2261"/>
      <c s="1366"/>
      <c s="1366"/>
      <c s="1366"/>
      <c s="1367"/>
      <c s="1368"/>
      <c s="1368"/>
      <c s="540"/>
      <c s="363"/>
      <c s="378"/>
      <c s="358"/>
      <c s="1281"/>
      <c s="375" t="s">
        <v>488</v>
      </c>
      <c s="370"/>
      <c s="370"/>
      <c s="603"/>
      <c s="603"/>
      <c s="603"/>
      <c s="603"/>
      <c s="603"/>
      <c s="370"/>
      <c s="370"/>
      <c s="370"/>
      <c s="370"/>
      <c s="369"/>
      <c s="370"/>
      <c s="603"/>
      <c s="603"/>
      <c s="603"/>
      <c s="603"/>
      <c s="603"/>
      <c s="370"/>
      <c s="370"/>
      <c s="370"/>
      <c s="370"/>
      <c s="369"/>
      <c s="370"/>
      <c s="306"/>
      <c r="AU51" s="503"/>
      <c s="503" t="str">
        <f>IF(T51="","",T51)</f>
        <v>Добавить наименование признака дифференциации</v>
      </c>
      <c s="503"/>
      <c s="503"/>
      <c s="1158">
        <v>21</v>
      </c>
    </row>
    <row r="52" spans="1:51" s="1645" customFormat="1" ht="0" customHeight="1">
      <c r="A52" s="1346" t="s">
        <v>256</v>
      </c>
      <c s="1346" t="s">
        <v>257</v>
      </c>
      <c s="1317"/>
      <c s="1317"/>
      <c s="2262"/>
      <c s="2261"/>
      <c s="1317"/>
      <c s="1317"/>
      <c s="1317"/>
      <c s="1317"/>
      <c s="1317"/>
      <c s="1497"/>
      <c s="1324"/>
      <c s="1324"/>
      <c r="P52" s="1319"/>
      <c s="1320"/>
      <c s="1319"/>
      <c s="1325"/>
      <c s="1328" t="s">
        <v>415</v>
      </c>
      <c s="1327"/>
      <c s="1327"/>
      <c s="1327"/>
      <c s="1327"/>
      <c s="1327"/>
      <c s="1327"/>
      <c s="1327"/>
      <c s="1327"/>
      <c s="1327"/>
      <c s="1327"/>
      <c s="1327"/>
      <c s="1327"/>
      <c s="1327"/>
      <c s="1327"/>
      <c s="1327"/>
      <c s="1327"/>
      <c s="1327"/>
      <c s="1327"/>
      <c s="1327"/>
      <c s="1327"/>
      <c s="1327"/>
      <c s="1327"/>
      <c s="1327"/>
      <c s="1327"/>
      <c s="1327"/>
      <c r="AU52" s="792"/>
      <c s="792" t="str">
        <f>IF(T52="","",T52)</f>
        <v>Добавить централизованную систему для дифференциации</v>
      </c>
      <c s="792"/>
      <c s="792"/>
      <c s="521">
        <v>0</v>
      </c>
    </row>
    <row r="53" spans="1:51" s="1645" customFormat="1" ht="0" customHeight="1">
      <c r="A53" s="1346" t="s">
        <v>256</v>
      </c>
      <c s="1346"/>
      <c s="1346"/>
      <c s="1346"/>
      <c s="2261"/>
      <c s="1346"/>
      <c s="1346"/>
      <c s="1346"/>
      <c s="1346"/>
      <c s="1346"/>
      <c s="1346"/>
      <c s="1349"/>
      <c s="1324"/>
      <c s="1324"/>
      <c s="521"/>
      <c s="383"/>
      <c s="1347"/>
      <c s="383"/>
      <c s="1325"/>
      <c s="1328" t="s">
        <v>416</v>
      </c>
      <c s="1327"/>
      <c s="1327"/>
      <c s="1327"/>
      <c s="1327"/>
      <c s="1327"/>
      <c s="1327"/>
      <c s="1327"/>
      <c s="1327"/>
      <c s="1327"/>
      <c s="1327"/>
      <c s="1327"/>
      <c s="1327"/>
      <c s="1327"/>
      <c s="1327"/>
      <c s="1327"/>
      <c s="1327"/>
      <c s="1327"/>
      <c s="1327"/>
      <c s="1327"/>
      <c s="1327"/>
      <c s="1327"/>
      <c s="1327"/>
      <c s="1327"/>
      <c s="1327"/>
      <c s="1327"/>
      <c r="AU53" s="503"/>
      <c s="503" t="str">
        <f>IF(T53="","",T53)</f>
        <v>Добавить территорию для дифференциации</v>
      </c>
      <c s="503"/>
      <c s="503"/>
      <c s="514">
        <v>0</v>
      </c>
    </row>
    <row r="54" spans="1:51" s="1645" customFormat="1" ht="0" customHeight="1">
      <c r="A54" s="1317"/>
      <c s="1317"/>
      <c s="1317"/>
      <c s="1317"/>
      <c s="1346"/>
      <c s="1317"/>
      <c s="1317"/>
      <c s="1317"/>
      <c s="1317"/>
      <c s="1317"/>
      <c s="1317"/>
      <c s="1497"/>
      <c s="1324"/>
      <c s="1324"/>
      <c r="P54" s="1319"/>
      <c s="1320"/>
      <c s="1319"/>
      <c s="1325"/>
      <c s="1328" t="s">
        <v>448</v>
      </c>
      <c s="1327"/>
      <c s="1327"/>
      <c s="1327"/>
      <c s="1327"/>
      <c s="1327"/>
      <c s="1327"/>
      <c s="1327"/>
      <c s="1327"/>
      <c s="1327"/>
      <c s="1327"/>
      <c s="1327"/>
      <c s="1327"/>
      <c s="1327"/>
      <c s="1327"/>
      <c s="1327"/>
      <c s="1327"/>
      <c s="1327"/>
      <c s="1327"/>
      <c s="1327"/>
      <c s="1327"/>
      <c s="1327"/>
      <c s="1327"/>
      <c s="1327"/>
      <c s="1327"/>
      <c s="1327"/>
      <c r="AU54" s="792"/>
      <c s="792" t="str">
        <f>IF(T54="","",T54)</f>
        <v>Добавить наименование тарифа</v>
      </c>
      <c s="792"/>
      <c s="792"/>
      <c s="521">
        <v>0</v>
      </c>
    </row>
    <row r="55" spans="13:51" ht="11.55" customHeight="1">
      <c r="M55" s="1163"/>
      <c s="1163"/>
      <c s="540"/>
      <c s="1158"/>
      <c s="1158"/>
      <c s="1158"/>
      <c s="1158"/>
      <c r="AT55" s="1158"/>
      <c s="1158"/>
      <c s="1158"/>
      <c s="1158"/>
      <c s="1158"/>
      <c s="1158">
        <v>11</v>
      </c>
    </row>
    <row r="56" spans="15:51" ht="14.7" customHeight="1">
      <c r="O56" s="540"/>
      <c r="S56" s="1256"/>
      <c s="2288"/>
      <c s="2288"/>
      <c s="2288"/>
      <c s="2288"/>
      <c s="2288"/>
      <c s="2288"/>
      <c s="2288"/>
      <c s="2288"/>
      <c s="2288"/>
      <c s="2288"/>
      <c s="2288"/>
      <c s="2288"/>
      <c s="2288"/>
      <c s="2288"/>
      <c s="2288"/>
      <c s="2288"/>
      <c s="2288"/>
      <c s="2288"/>
      <c s="2288"/>
      <c s="2288"/>
      <c s="2288"/>
      <c s="2288"/>
      <c s="2288"/>
      <c s="2288"/>
      <c s="2288"/>
      <c s="2288"/>
      <c r="AY56" s="1158">
        <v>14</v>
      </c>
    </row>
    <row r="57" spans="15:15 51:51" ht="14.7" customHeight="1">
      <c r="O57" s="540"/>
      <c r="AY57" s="1158">
        <v>14</v>
      </c>
    </row>
    <row r="58" spans="15:51" ht="14.7" customHeight="1">
      <c r="O58" s="540"/>
      <c r="S58" s="1256"/>
      <c s="2288"/>
      <c s="2288"/>
      <c s="2288"/>
      <c s="2288"/>
      <c s="2288"/>
      <c s="2288"/>
      <c s="2288"/>
      <c s="2288"/>
      <c s="2288"/>
      <c s="2288"/>
      <c s="2288"/>
      <c s="2288"/>
      <c s="2288"/>
      <c s="2288"/>
      <c s="2288"/>
      <c s="2288"/>
      <c s="2288"/>
      <c s="2288"/>
      <c s="2288"/>
      <c s="2288"/>
      <c s="2288"/>
      <c s="2288"/>
      <c s="2288"/>
      <c s="2288"/>
      <c s="2288"/>
      <c s="2288"/>
      <c r="AY58" s="1158">
        <v>14</v>
      </c>
    </row>
    <row r="59" spans="1:51" ht="22.5" customHeight="1" hidden="1">
      <c r="A59" s="1163" t="s">
        <v>81</v>
      </c>
      <c s="1163">
        <v>0</v>
      </c>
      <c s="1163">
        <v>0</v>
      </c>
      <c s="1163">
        <v>0</v>
      </c>
      <c s="1163">
        <v>0</v>
      </c>
      <c s="1163">
        <v>0</v>
      </c>
      <c s="1163">
        <v>0</v>
      </c>
      <c s="1163">
        <v>0</v>
      </c>
      <c s="1163">
        <v>0</v>
      </c>
      <c s="1163">
        <v>0</v>
      </c>
      <c s="1163">
        <v>0</v>
      </c>
      <c s="1481">
        <v>0</v>
      </c>
      <c s="1365">
        <v>0</v>
      </c>
      <c s="1365">
        <v>0</v>
      </c>
      <c s="1365">
        <v>0</v>
      </c>
      <c s="1476">
        <v>3</v>
      </c>
      <c s="347">
        <v>3</v>
      </c>
      <c s="347">
        <v>3</v>
      </c>
      <c s="584">
        <v>12</v>
      </c>
      <c s="1158">
        <v>35</v>
      </c>
      <c s="1158">
        <v>0</v>
      </c>
      <c s="1158">
        <v>0</v>
      </c>
      <c s="1634">
        <v>0</v>
      </c>
      <c s="1634">
        <v>0</v>
      </c>
      <c s="1634">
        <v>0</v>
      </c>
      <c s="1634">
        <v>0</v>
      </c>
      <c s="1634">
        <v>0</v>
      </c>
      <c s="1158">
        <v>0</v>
      </c>
      <c s="1158">
        <v>0</v>
      </c>
      <c s="1158">
        <v>0</v>
      </c>
      <c s="1158">
        <v>0</v>
      </c>
      <c s="1158">
        <v>0</v>
      </c>
      <c s="1158">
        <v>19</v>
      </c>
      <c s="1634">
        <v>19</v>
      </c>
      <c s="1634">
        <v>19</v>
      </c>
      <c s="1634">
        <v>19</v>
      </c>
      <c s="1634">
        <v>19</v>
      </c>
      <c s="1634">
        <v>19</v>
      </c>
      <c s="1158">
        <v>19</v>
      </c>
      <c s="1158">
        <v>11</v>
      </c>
      <c s="1158">
        <v>3</v>
      </c>
      <c s="1158">
        <v>11</v>
      </c>
      <c s="1158">
        <v>0</v>
      </c>
      <c s="1158">
        <v>4</v>
      </c>
      <c s="1158">
        <v>115</v>
      </c>
      <c s="514">
        <v>10</v>
      </c>
      <c s="514">
        <v>10</v>
      </c>
      <c s="514">
        <v>10</v>
      </c>
      <c s="514">
        <v>10</v>
      </c>
      <c s="514">
        <v>10</v>
      </c>
      <c s="1158">
        <v>23</v>
      </c>
    </row>
  </sheetData>
  <sheetProtection formatColumns="0" formatRows="0" insertRows="0" deleteColumns="0" deleteRows="0" sort="0" autoFilter="0"/>
  <mergeCells count="113">
    <mergeCell ref="AS47:AS48"/>
    <mergeCell ref="T56:AS56"/>
    <mergeCell ref="T58:AS58"/>
    <mergeCell ref="V46:AF46"/>
    <mergeCell ref="AG46:AR46"/>
    <mergeCell ref="AO47:AO48"/>
    <mergeCell ref="AP47:AP48"/>
    <mergeCell ref="AQ47:AQ48"/>
    <mergeCell ref="AS36:AS40"/>
    <mergeCell ref="AR37:AR40"/>
    <mergeCell ref="AL39:AM39"/>
    <mergeCell ref="V38:V40"/>
    <mergeCell ref="W38:Y38"/>
    <mergeCell ref="Z38:AB38"/>
    <mergeCell ref="W39:W40"/>
    <mergeCell ref="X39:Y39"/>
    <mergeCell ref="Z39:Z40"/>
    <mergeCell ref="AG38:AG40"/>
    <mergeCell ref="AK39:AK40"/>
    <mergeCell ref="K47:K48"/>
    <mergeCell ref="AC47:AC48"/>
    <mergeCell ref="AD47:AD48"/>
    <mergeCell ref="AE47:AE48"/>
    <mergeCell ref="AF47:AF48"/>
    <mergeCell ref="AN47:AN48"/>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S37:S40"/>
    <mergeCell ref="T37:T40"/>
    <mergeCell ref="V37:AE37"/>
    <mergeCell ref="AF37:AF40"/>
    <mergeCell ref="AG37:AP37"/>
    <mergeCell ref="AQ37:AQ40"/>
    <mergeCell ref="S32:T32"/>
    <mergeCell ref="V32:AE32"/>
    <mergeCell ref="AG32:AP32"/>
    <mergeCell ref="S33:T33"/>
    <mergeCell ref="V33:AE33"/>
    <mergeCell ref="AG33:AP33"/>
    <mergeCell ref="AD40:AE40"/>
    <mergeCell ref="AO40:AP40"/>
    <mergeCell ref="V35:AF35"/>
    <mergeCell ref="AG35:AQ35"/>
    <mergeCell ref="S36:AR36"/>
    <mergeCell ref="AA39:AB39"/>
    <mergeCell ref="AN38:AP39"/>
    <mergeCell ref="AC38:AE39"/>
    <mergeCell ref="AH38:AJ38"/>
    <mergeCell ref="AK38:AM38"/>
    <mergeCell ref="AH39:AH40"/>
    <mergeCell ref="AI39:AJ39"/>
    <mergeCell ref="S29:T29"/>
    <mergeCell ref="V29:AE29"/>
    <mergeCell ref="AG29:AP29"/>
    <mergeCell ref="S30:T30"/>
    <mergeCell ref="V30:AE30"/>
    <mergeCell ref="AG30:AP30"/>
    <mergeCell ref="S24:AP24"/>
    <mergeCell ref="S25:AP25"/>
    <mergeCell ref="S27:T27"/>
    <mergeCell ref="V27:AE27"/>
    <mergeCell ref="AG27:AP27"/>
    <mergeCell ref="S28:T28"/>
    <mergeCell ref="V28:AE28"/>
    <mergeCell ref="AG28:AP28"/>
    <mergeCell ref="AS7:AS8"/>
    <mergeCell ref="AN15:AN16"/>
    <mergeCell ref="AO15:AO16"/>
    <mergeCell ref="AP15:AP16"/>
    <mergeCell ref="AQ15:AQ16"/>
    <mergeCell ref="AD7:AD8"/>
    <mergeCell ref="AE7:AE8"/>
    <mergeCell ref="AF7:AF8"/>
    <mergeCell ref="AN7:AN8"/>
    <mergeCell ref="AO7:AO8"/>
    <mergeCell ref="AP7:AP8"/>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s>
  <dataValidations count="8">
    <dataValidation type="list" allowBlank="1" showInputMessage="1" prompt="Выберите значение из списка" errorTitle="Ошибка" error="Выберите значение из списка" sqref="V65578:AR65578 V983082:AR983082 V131114:AR131114 V196650:AR196650 V262186:AR262186 V327722:AR327722 V393258:AR393258 V458794:AR458794 V524330:AR524330 V589866:AR589866 V655402:AR655402 V720938:AR720938 V786474:AR786474 V852010:AR852010 V917546:AR917546">
      <formula1>kind_of_cons</formula1>
    </dataValidation>
    <dataValidation allowBlank="1" sqref="S65581:AS65587 S131117:AS131123 S196653:AS196659 S262189:AS262195 S327725:AS327731 S393261:AS393267 S458797:AS458803 S524333:AS524339 S589869:AS589875 S655405:AS655411 S720941:AS720947 S786477:AS786483 S852013:AS852019 S917549:AS917555 S983085:AS983091"/>
    <dataValidation allowBlank="1" showInputMessage="1" showErrorMessage="1" prompt="Для выбора выполните двойной щелчок левой клавиши мыши по соответствующей ячейке." sqref="AD7 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F7 AQ393259 AQ47 AD47 AF47"/>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7 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E7 AC47 AE47"/>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type="textLength" operator="lessThanOrEqual" allowBlank="1" showInputMessage="1" showErrorMessage="1" errorTitle="Ошибка" error="Допускается ввод не более 900 символов!" sqref="AG5:AR5 AS65573:AS65580 AS131109:AS131116 AS196645:AS196652 AS262181:AS262188 AS327717:AS327724 AS393253:AS393260 AS458789:AS458796 AS524325:AS524332 AS589861:AS589868 AS655397:AS655404 AS720933:AS720940 AS786469:AS786476 AS852005:AS852012 AS917541:AS917548 AS983077:AS983084 T47 T7 AG45:AR45">
      <formula1>900</formula1>
    </dataValidation>
    <dataValidation type="list" allowBlank="1" showInputMessage="1" showErrorMessage="1" errorTitle="Ошибка" error="Выберите значение из списка" sqref="V65577:AA65577 V983081:AA983081 V131113:AA131113 V196649:AA196649 V262185:AA262185 V327721:AA327721 V393257:AA393257 V458793:AA458793 V524329:AA524329 V589865:AA589865 V655401:AA655401 V720937:AA720937 V786473:AA786473 V852009:AA852009 V917545:AA917545 AG983081:AL983081 AG65577:AL65577 AG131113:AL131113 AG196649:AL196649 AG262185:AL262185 AG327721:AL327721 AG393257:AL393257 AG458793:AL458793 AG524329:AL524329 AG589865:AL589865 AG655401:AL655401 AG720937:AL720937 AG786473:AL786473 AG852009:AL852009 AG917545:AL917545">
      <formula1>kind_of_scheme_in</formula1>
    </dataValidation>
    <dataValidation allowBlank="1" promptTitle="checkPeriodRange" sqref="AB8 AB65580 AB131116 AB196652 AB262188 AB327724 AB393260 AB458796 AB524332 AB589868 AB655404 AB720940 AB786476 AB852012 AB917548 AB983084 AM16 AM65580 AM131116 AM196652 AM262188 AM327724 AM393260 AM458796 AM524332 AM589868 AM655404 AM720940 AM786476 AM852012 AM917548 AM983084 AM48 AM8 AB48"/>
  </dataValidations>
  <pageMargins left="0.7" right="0.7" top="0.75" bottom="0.75" header="0.3" footer="0.3"/>
  <pageSetup orientation="portrait"/>
</worksheet>
</file>

<file path=xl/worksheets/sheet3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m="http://schemas.microsoft.com/office/excel/2006/main" xmlns:x14ac="http://schemas.microsoft.com/office/spreadsheetml/2009/9/ac" xmlns:xr="http://schemas.microsoft.com/office/spreadsheetml/2014/revision" xmlns:xr2="http://schemas.microsoft.com/office/spreadsheetml/2015/revision2" xmlns:xr3="http://schemas.microsoft.com/office/spreadsheetml/2016/revision3" xr:uid="{7F752996-3AEA-FFDD-B5EC-F9EF2E1A8093}" mc:Ignorable="x14ac xr xr2 xr3">
  <sheetPr>
    <tabColor theme="6" tint="0.400000005960464"/>
  </sheetPr>
  <dimension ref="A1:BI69"/>
  <sheetViews>
    <sheetView showGridLines="0" zoomScale="90" zoomScaleNormal="90" workbookViewId="0" topLeftCell="A1">
      <pane xSplit="29" ySplit="45" topLeftCell="AD46" activePane="bottomRight" state="frozen"/>
      <selection pane="topLeft" activeCell="A1" sqref="A1"/>
      <selection pane="bottomLeft" activeCell="A46" sqref="A46"/>
      <selection pane="topRight" activeCell="AD1" sqref="AD1"/>
      <selection pane="bottomRight" activeCell="A1" sqref="A1"/>
    </sheetView>
  </sheetViews>
  <sheetFormatPr defaultColWidth="10.5742857142857" defaultRowHeight="14.25" customHeight="1"/>
  <cols>
    <col min="1" max="1" width="11.5714285714286" style="1369" hidden="1" customWidth="1"/>
    <col min="2" max="2" width="11" style="1369" hidden="1" customWidth="1"/>
    <col min="3" max="3" width="10.5714285714286" style="1369" hidden="1"/>
    <col min="4" max="4" width="12.8571428571429" style="1369" hidden="1" customWidth="1"/>
    <col min="5" max="5" width="10" style="1369" hidden="1" customWidth="1"/>
    <col min="6" max="6" width="8.71428571428571" style="1369" hidden="1" customWidth="1"/>
    <col min="7" max="7" width="7.57142857142857" style="1369" hidden="1" customWidth="1"/>
    <col min="8" max="8" width="11.4285714285714" style="1369" hidden="1" customWidth="1"/>
    <col min="9" max="9" width="12" style="1369" hidden="1" customWidth="1"/>
    <col min="10" max="10" width="9.85714285714286" style="1369" hidden="1" customWidth="1"/>
    <col min="11" max="11" width="11.4285714285714" style="1369" hidden="1" customWidth="1"/>
    <col min="12" max="12" width="19.1428571428571" style="2610" hidden="1" customWidth="1"/>
    <col min="13" max="14" width="12.2857142857143" style="1779" hidden="1" customWidth="1"/>
    <col min="15" max="15" width="23.4285714285714" style="1779" hidden="1" customWidth="1"/>
    <col min="16" max="16" width="3.71428571428571" style="1779" hidden="1" customWidth="1"/>
    <col min="17" max="17" width="3.71428571428571" style="1374" hidden="1" customWidth="1"/>
    <col min="18" max="18" width="3" style="347" customWidth="1"/>
    <col min="19" max="19" width="12" style="2410" customWidth="1"/>
    <col min="20" max="20" width="31" style="1638" customWidth="1"/>
    <col min="21" max="21" width="0.142857142857143" style="1638" customWidth="1"/>
    <col min="22" max="25" width="21.7142857142857" style="1638" hidden="1" customWidth="1"/>
    <col min="26" max="26" width="11.7142857142857" style="1638" hidden="1" customWidth="1"/>
    <col min="27" max="27" width="3.71428571428571" style="1638" hidden="1" customWidth="1"/>
    <col min="28" max="28" width="11.7142857142857" style="1638" hidden="1" customWidth="1"/>
    <col min="29" max="29" width="8.57142857142857" style="1638" hidden="1" customWidth="1"/>
    <col min="30" max="30" width="3.71428571428571" style="1638" customWidth="1"/>
    <col min="31" max="32" width="3" style="1638" customWidth="1"/>
    <col min="33" max="33" width="24" style="1638" customWidth="1"/>
    <col min="34" max="34" width="3.71428571428571" style="1638" customWidth="1"/>
    <col min="35" max="36" width="3" style="1638" customWidth="1"/>
    <col min="37" max="37" width="24" style="1638" customWidth="1"/>
    <col min="38" max="38" width="3.71428571428571" style="1638" customWidth="1"/>
    <col min="39" max="40" width="3" style="1638" customWidth="1"/>
    <col min="41" max="41" width="18" style="1638" customWidth="1"/>
    <col min="42" max="42" width="3.71428571428571" style="1638" customWidth="1"/>
    <col min="43" max="44" width="3" style="1638" customWidth="1"/>
    <col min="45" max="45" width="18" style="1638" customWidth="1"/>
    <col min="46" max="49" width="21" style="1638" customWidth="1"/>
    <col min="50" max="50" width="11" style="1638" customWidth="1"/>
    <col min="51" max="51" width="3.71428571428571" style="1638" customWidth="1"/>
    <col min="52" max="52" width="11" style="1638" customWidth="1"/>
    <col min="53" max="53" width="8.57142857142857" style="1638" hidden="1" customWidth="1"/>
    <col min="54" max="54" width="4" style="1638" customWidth="1"/>
    <col min="55" max="55" width="115" style="1638" customWidth="1"/>
    <col min="56" max="60" width="10" style="1645" customWidth="1"/>
    <col min="61" max="61" width="10.5714285714286" style="1638" hidden="1"/>
  </cols>
  <sheetData>
    <row r="1" spans="23:61" ht="22.5" customHeight="1" hidden="1">
      <c r="W1" s="330"/>
      <c r="Y1" s="330"/>
      <c s="330"/>
      <c r="AW1" s="330"/>
      <c s="330"/>
      <c r="BI1" s="1158" t="s">
        <v>14</v>
      </c>
    </row>
    <row r="2" spans="1:61" ht="21" customHeight="1" hidden="1">
      <c r="A2" s="1366"/>
      <c s="1366"/>
      <c s="1366"/>
      <c s="1366"/>
      <c s="2261">
        <v>1</v>
      </c>
      <c s="1366"/>
      <c s="1366"/>
      <c s="1366"/>
      <c s="1366"/>
      <c s="1366"/>
      <c s="1366"/>
      <c s="1367"/>
      <c s="1368"/>
      <c s="1368"/>
      <c s="1368"/>
      <c s="1412"/>
      <c s="876"/>
      <c s="358"/>
      <c s="1496">
        <f>INDEX(PT_DIFFERENTIATION_NUM_NTAR,MATCH(A2,PT_DIFFERENTIATION_NTAR_ID,0))</f>
      </c>
      <c s="301" t="s">
        <v>125</v>
      </c>
      <c s="303"/>
      <c s="2246"/>
      <c s="2246"/>
      <c s="2246"/>
      <c s="2246"/>
      <c s="2246"/>
      <c s="2246"/>
      <c s="2246"/>
      <c s="2247"/>
      <c s="2245">
        <f>INDEX(PT_DIFFERENTIATION_NTAR,MATCH(A2,PT_DIFFERENTIATION_NTAR_ID,0))</f>
      </c>
      <c s="2246"/>
      <c s="2246"/>
      <c s="2246"/>
      <c s="2246"/>
      <c s="2246"/>
      <c s="2246"/>
      <c s="2246"/>
      <c s="2246"/>
      <c s="2246"/>
      <c s="2246"/>
      <c s="2246"/>
      <c s="2246"/>
      <c s="2246"/>
      <c s="2246"/>
      <c s="2246"/>
      <c s="2246"/>
      <c s="2246"/>
      <c s="2246"/>
      <c s="2246"/>
      <c s="2246"/>
      <c s="2246"/>
      <c s="2246"/>
      <c s="2246"/>
      <c s="2247"/>
      <c s="126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503"/>
      <c s="503" t="str">
        <f>IF(T2="","",T2)</f>
        <v>Наименование тарифа</v>
      </c>
      <c s="503"/>
      <c s="503"/>
      <c s="1158">
        <v>0</v>
      </c>
    </row>
    <row r="3" spans="1:61" ht="21" customHeight="1" hidden="1">
      <c r="A3" s="1366"/>
      <c s="1366"/>
      <c s="1366"/>
      <c s="1366"/>
      <c s="2262"/>
      <c s="2261">
        <v>1</v>
      </c>
      <c s="1366"/>
      <c s="1366"/>
      <c s="1366"/>
      <c s="1366"/>
      <c s="1366"/>
      <c s="1367"/>
      <c s="1368"/>
      <c s="1368"/>
      <c s="1368"/>
      <c s="1413"/>
      <c s="1414"/>
      <c s="356"/>
      <c s="1496">
        <f>INDEX(PT_DIFFERENTIATION_NUM_TER,MATCH(B3,PT_DIFFERENTIATION_TER_ID,0))</f>
      </c>
      <c s="311" t="s">
        <v>397</v>
      </c>
      <c s="303"/>
      <c s="2246"/>
      <c s="2246"/>
      <c s="2246"/>
      <c s="2246"/>
      <c s="2246"/>
      <c s="2246"/>
      <c s="2246"/>
      <c s="2247"/>
      <c s="2245">
        <f>INDEX(PT_DIFFERENTIATION_TER,MATCH(B3,PT_DIFFERENTIATION_TER_ID,0))</f>
      </c>
      <c s="2246"/>
      <c s="2246"/>
      <c s="2246"/>
      <c s="2246"/>
      <c s="2246"/>
      <c s="2246"/>
      <c s="2246"/>
      <c s="2246"/>
      <c s="2246"/>
      <c s="2246"/>
      <c s="2246"/>
      <c s="2246"/>
      <c s="2246"/>
      <c s="2246"/>
      <c s="2246"/>
      <c s="2246"/>
      <c s="2246"/>
      <c s="2246"/>
      <c s="2246"/>
      <c s="2246"/>
      <c s="2246"/>
      <c s="2246"/>
      <c s="2246"/>
      <c s="2247"/>
      <c s="1261" t="s">
        <v>398</v>
      </c>
      <c r="BE3" s="503"/>
      <c s="503" t="str">
        <f>IF(T3="","",T3)</f>
        <v>Территория действия тарифа</v>
      </c>
      <c s="503"/>
      <c s="503"/>
      <c s="1158">
        <v>0</v>
      </c>
    </row>
    <row r="4" spans="1:61" ht="33.75" customHeight="1" hidden="1">
      <c r="A4" s="1366"/>
      <c s="1366"/>
      <c s="1366"/>
      <c s="1366"/>
      <c s="2262"/>
      <c s="2262"/>
      <c s="2261">
        <v>1</v>
      </c>
      <c s="1366"/>
      <c s="1366"/>
      <c s="1366"/>
      <c s="1366"/>
      <c s="1367"/>
      <c s="1368"/>
      <c s="1368"/>
      <c s="1368"/>
      <c s="1415"/>
      <c s="1414"/>
      <c s="356"/>
      <c s="1496">
        <f>INDEX(PT_DIFFERENTIATION_NUM_CS,MATCH(C4,PT_DIFFERENTIATION_CS_ID,0))</f>
      </c>
      <c s="312" t="s">
        <v>530</v>
      </c>
      <c s="303"/>
      <c s="2246"/>
      <c s="2246"/>
      <c s="2246"/>
      <c s="2246"/>
      <c s="2246"/>
      <c s="2246"/>
      <c s="2246"/>
      <c s="2247"/>
      <c s="2245">
        <f>INDEX(PT_DIFFERENTIATION_CS,MATCH(C4,PT_DIFFERENTIATION_CS_ID,0))</f>
      </c>
      <c s="2246"/>
      <c s="2246"/>
      <c s="2246"/>
      <c s="2246"/>
      <c s="2246"/>
      <c s="2246"/>
      <c s="2246"/>
      <c s="2246"/>
      <c s="2246"/>
      <c s="2246"/>
      <c s="2246"/>
      <c s="2246"/>
      <c s="2246"/>
      <c s="2246"/>
      <c s="2246"/>
      <c s="2246"/>
      <c s="2246"/>
      <c s="2246"/>
      <c s="2246"/>
      <c s="2246"/>
      <c s="2246"/>
      <c s="2246"/>
      <c s="2246"/>
      <c s="2247"/>
      <c s="1261" t="s">
        <v>531</v>
      </c>
      <c r="BE4" s="503"/>
      <c s="503" t="str">
        <f>IF(T4="","",T4)</f>
        <v>Наименование централизованной системы горячего водоснабжения</v>
      </c>
      <c s="503"/>
      <c s="503"/>
      <c s="1158">
        <v>0</v>
      </c>
    </row>
    <row r="5" spans="1:61" s="1645" customFormat="1" ht="14.25" customHeight="1" hidden="1">
      <c r="A5" s="1346"/>
      <c s="1346"/>
      <c s="1346"/>
      <c s="1346"/>
      <c s="2262"/>
      <c s="2262"/>
      <c s="2262"/>
      <c s="2261">
        <v>1</v>
      </c>
      <c s="1346"/>
      <c s="1346"/>
      <c s="1346"/>
      <c s="1349"/>
      <c s="1318"/>
      <c s="1318"/>
      <c s="1318"/>
      <c s="1500"/>
      <c s="1501"/>
      <c s="360"/>
      <c s="1045"/>
      <c s="1502"/>
      <c s="1387"/>
      <c s="2300"/>
      <c s="2300"/>
      <c s="2300"/>
      <c s="2300"/>
      <c s="2300"/>
      <c s="2300"/>
      <c s="2300"/>
      <c s="2301"/>
      <c s="2299"/>
      <c s="2300"/>
      <c s="2300"/>
      <c s="2300"/>
      <c s="2300"/>
      <c s="2300"/>
      <c s="2300"/>
      <c s="2300"/>
      <c s="2300"/>
      <c s="2300"/>
      <c s="2300"/>
      <c s="2300"/>
      <c s="2300"/>
      <c s="2300"/>
      <c s="2300"/>
      <c s="2300"/>
      <c s="2300"/>
      <c s="2300"/>
      <c s="2300"/>
      <c s="2300"/>
      <c s="2300"/>
      <c s="2300"/>
      <c s="2300"/>
      <c s="2300"/>
      <c s="2301"/>
      <c s="1388" t="s">
        <v>402</v>
      </c>
      <c r="BE5" s="503"/>
      <c s="503" t="str">
        <f>IF(T5="","",T5)</f>
        <v/>
      </c>
      <c s="503"/>
      <c s="503"/>
      <c s="514">
        <v>0</v>
      </c>
    </row>
    <row r="6" spans="1:61" s="1645" customFormat="1" ht="14.25" customHeight="1" hidden="1">
      <c r="A6" s="1346"/>
      <c s="1346"/>
      <c s="1346"/>
      <c s="1346"/>
      <c s="2262"/>
      <c s="2262"/>
      <c s="2262"/>
      <c s="2262"/>
      <c s="2259" t="str">
        <f>S5&amp;".1"</f>
        <v>.1</v>
      </c>
      <c s="1346"/>
      <c s="1346"/>
      <c s="1349" t="s">
        <v>403</v>
      </c>
      <c s="513"/>
      <c s="513"/>
      <c s="513"/>
      <c s="2260">
        <v>1</v>
      </c>
      <c s="1484"/>
      <c s="359"/>
      <c s="1045"/>
      <c s="1386"/>
      <c s="1387"/>
      <c s="2300"/>
      <c s="2300"/>
      <c s="2300"/>
      <c s="2300"/>
      <c s="2300"/>
      <c s="2300"/>
      <c s="2300"/>
      <c s="2301"/>
      <c s="2299"/>
      <c s="2300"/>
      <c s="2300"/>
      <c s="2300"/>
      <c s="2300"/>
      <c s="2300"/>
      <c s="2300"/>
      <c s="2300"/>
      <c s="2300"/>
      <c s="2300"/>
      <c s="2300"/>
      <c s="2300"/>
      <c s="2300"/>
      <c s="2300"/>
      <c s="2300"/>
      <c s="2300"/>
      <c s="2300"/>
      <c s="2300"/>
      <c s="2300"/>
      <c s="2300"/>
      <c s="2300"/>
      <c s="2300"/>
      <c s="2300"/>
      <c s="2300"/>
      <c s="2301"/>
      <c s="1388"/>
      <c r="BE6" s="503"/>
      <c s="503" t="str">
        <f>IF(T6="","",T6)</f>
        <v/>
      </c>
      <c s="503"/>
      <c s="503"/>
      <c s="514">
        <v>0</v>
      </c>
    </row>
    <row r="7" spans="1:61" s="1645" customFormat="1" ht="14.25" customHeight="1" hidden="1">
      <c r="A7" s="1346"/>
      <c s="1346"/>
      <c s="1346"/>
      <c s="1346"/>
      <c s="2262"/>
      <c s="2262"/>
      <c s="2262"/>
      <c s="2262"/>
      <c s="2289"/>
      <c s="2259" t="str">
        <f>S5&amp;".1"</f>
        <v>.1</v>
      </c>
      <c s="1346"/>
      <c s="1349"/>
      <c s="513"/>
      <c s="513"/>
      <c s="513"/>
      <c s="2260"/>
      <c s="2260">
        <v>1</v>
      </c>
      <c s="360"/>
      <c s="1045"/>
      <c s="1402"/>
      <c s="1387"/>
      <c s="2300"/>
      <c s="2300"/>
      <c s="2300"/>
      <c s="2300"/>
      <c s="2300"/>
      <c s="2300"/>
      <c s="2300"/>
      <c s="2301"/>
      <c s="2299"/>
      <c s="2300"/>
      <c s="2300"/>
      <c s="2300"/>
      <c s="2300"/>
      <c s="2300"/>
      <c s="2300"/>
      <c s="2300"/>
      <c s="2300"/>
      <c s="2300"/>
      <c s="2300"/>
      <c s="2300"/>
      <c s="2300"/>
      <c s="2300"/>
      <c s="2300"/>
      <c s="2300"/>
      <c s="2300"/>
      <c s="2300"/>
      <c s="2300"/>
      <c s="2300"/>
      <c s="2300"/>
      <c s="2300"/>
      <c s="2300"/>
      <c s="2300"/>
      <c s="2301"/>
      <c s="1388"/>
      <c r="BE7" s="503"/>
      <c s="503" t="str">
        <f>IF(T7="","",T7)</f>
        <v/>
      </c>
      <c s="503"/>
      <c s="503"/>
      <c s="514">
        <v>0</v>
      </c>
    </row>
    <row r="8" spans="1:61" ht="11.25" customHeight="1" hidden="1">
      <c r="A8" s="1366"/>
      <c s="1366"/>
      <c s="1366"/>
      <c s="1366"/>
      <c s="2262"/>
      <c s="2262"/>
      <c s="2262"/>
      <c s="2262"/>
      <c s="2289"/>
      <c s="2289"/>
      <c s="2259">
        <f>S4&amp;".1"</f>
      </c>
      <c s="1367"/>
      <c r="P8" s="2260"/>
      <c s="2260"/>
      <c s="2350">
        <v>1</v>
      </c>
      <c s="2344">
        <f>$K8</f>
      </c>
      <c s="2363"/>
      <c s="303"/>
      <c s="754"/>
      <c s="1260"/>
      <c s="754"/>
      <c s="1260"/>
      <c s="1737"/>
      <c s="1472" t="s">
        <v>65</v>
      </c>
      <c s="1737"/>
      <c s="1472" t="s">
        <v>65</v>
      </c>
      <c s="2188" t="s">
        <v>65</v>
      </c>
      <c s="2329"/>
      <c s="2208">
        <v>1</v>
      </c>
      <c s="2366"/>
      <c s="2110" t="s">
        <v>65</v>
      </c>
      <c s="2329"/>
      <c s="2208">
        <v>1</v>
      </c>
      <c s="2330" t="s">
        <v>22</v>
      </c>
      <c s="2110" t="s">
        <v>65</v>
      </c>
      <c s="2195"/>
      <c s="2208">
        <v>1</v>
      </c>
      <c s="2360"/>
      <c s="2361" t="s">
        <v>65</v>
      </c>
      <c s="314"/>
      <c s="1489">
        <v>1</v>
      </c>
      <c s="1495" t="s">
        <v>22</v>
      </c>
      <c s="754"/>
      <c s="1260"/>
      <c s="754"/>
      <c s="1260"/>
      <c s="1737"/>
      <c s="1472" t="s">
        <v>65</v>
      </c>
      <c s="1737"/>
      <c s="1472" t="s">
        <v>65</v>
      </c>
      <c s="1351"/>
      <c s="2256" t="s">
        <v>501</v>
      </c>
      <c r="BE8" s="503"/>
      <c s="503" t="str">
        <f>IF(T8="","",T8)</f>
        <v/>
      </c>
      <c s="503"/>
      <c s="503"/>
      <c s="1158">
        <v>0</v>
      </c>
    </row>
    <row r="9" spans="1:61" ht="11.25" customHeight="1" hidden="1">
      <c r="A9" s="1366"/>
      <c s="1366"/>
      <c s="1366"/>
      <c s="1366"/>
      <c s="2262"/>
      <c s="2262"/>
      <c s="2262"/>
      <c s="2262"/>
      <c s="2289"/>
      <c s="2289"/>
      <c s="2259"/>
      <c s="1367"/>
      <c r="P9" s="2260"/>
      <c s="2260"/>
      <c s="2350"/>
      <c s="2345"/>
      <c s="2364"/>
      <c s="303"/>
      <c s="1396"/>
      <c s="1499"/>
      <c s="1396"/>
      <c s="1499"/>
      <c s="1396"/>
      <c s="1396"/>
      <c s="1396"/>
      <c s="1396"/>
      <c s="2189"/>
      <c s="2329"/>
      <c s="2208"/>
      <c s="2366"/>
      <c s="2110"/>
      <c s="2329"/>
      <c s="2208"/>
      <c s="2330"/>
      <c s="2110"/>
      <c s="2203"/>
      <c s="2208"/>
      <c s="2360"/>
      <c s="2362"/>
      <c s="319"/>
      <c s="419"/>
      <c s="419" t="s">
        <v>502</v>
      </c>
      <c s="1396"/>
      <c s="1499"/>
      <c s="1396"/>
      <c s="1499"/>
      <c s="1396"/>
      <c s="1396"/>
      <c s="1396"/>
      <c s="1396"/>
      <c s="1400"/>
      <c s="2257"/>
      <c r="BE9" s="503"/>
      <c s="503"/>
      <c s="503"/>
      <c s="503"/>
      <c s="1158">
        <v>0</v>
      </c>
    </row>
    <row r="10" spans="1:61" ht="11.25" customHeight="1" hidden="1">
      <c r="A10" s="1366"/>
      <c s="1366"/>
      <c s="1366"/>
      <c s="1366"/>
      <c s="2262"/>
      <c s="2262"/>
      <c s="2262"/>
      <c s="2262"/>
      <c s="2289"/>
      <c s="2289"/>
      <c s="2259"/>
      <c s="1367"/>
      <c r="P10" s="2260"/>
      <c s="2260"/>
      <c s="2350"/>
      <c s="2345"/>
      <c s="2364"/>
      <c s="303"/>
      <c s="1396"/>
      <c s="1499"/>
      <c s="1396"/>
      <c s="1499"/>
      <c s="1396"/>
      <c s="1396"/>
      <c s="1396"/>
      <c s="1396"/>
      <c s="2189"/>
      <c s="2329"/>
      <c s="2208"/>
      <c s="2366"/>
      <c s="2110"/>
      <c s="2329"/>
      <c s="2208"/>
      <c s="2330"/>
      <c s="2110"/>
      <c s="319"/>
      <c s="1503"/>
      <c s="1503" t="s">
        <v>503</v>
      </c>
      <c s="419"/>
      <c s="419"/>
      <c s="419"/>
      <c s="1396"/>
      <c s="1396"/>
      <c s="1499"/>
      <c s="1396"/>
      <c s="1499"/>
      <c s="1396"/>
      <c s="1396"/>
      <c s="1396"/>
      <c s="1396"/>
      <c s="1400"/>
      <c s="2257"/>
      <c r="BE10" s="503"/>
      <c s="503"/>
      <c s="503"/>
      <c s="503"/>
      <c s="1158">
        <v>0</v>
      </c>
    </row>
    <row r="11" spans="1:61" ht="11.25" customHeight="1" hidden="1">
      <c r="A11" s="1366"/>
      <c s="1366"/>
      <c s="1366"/>
      <c s="1366"/>
      <c s="2262"/>
      <c s="2262"/>
      <c s="2262"/>
      <c s="2262"/>
      <c s="2289"/>
      <c s="2289"/>
      <c s="2259"/>
      <c s="1367"/>
      <c r="P11" s="2260"/>
      <c s="2260"/>
      <c s="2350"/>
      <c s="2345"/>
      <c s="2364"/>
      <c s="303"/>
      <c s="1396"/>
      <c s="1499"/>
      <c s="1396"/>
      <c s="1499"/>
      <c s="1396"/>
      <c s="1396"/>
      <c s="1396"/>
      <c s="1396"/>
      <c s="2189"/>
      <c s="2329"/>
      <c s="2208"/>
      <c s="2366"/>
      <c s="2110"/>
      <c s="297"/>
      <c s="418"/>
      <c s="316" t="s">
        <v>504</v>
      </c>
      <c s="1396"/>
      <c s="1396"/>
      <c s="1396"/>
      <c s="1396"/>
      <c s="1396"/>
      <c s="1396"/>
      <c s="1396"/>
      <c s="1396"/>
      <c s="1396"/>
      <c s="1499"/>
      <c s="1396"/>
      <c s="1499"/>
      <c s="1396"/>
      <c s="1396"/>
      <c s="1396"/>
      <c s="1396"/>
      <c s="1400"/>
      <c s="2257"/>
      <c r="BE11" s="503"/>
      <c s="503"/>
      <c s="503"/>
      <c s="503"/>
      <c s="1158">
        <v>0</v>
      </c>
    </row>
    <row r="12" spans="1:61" ht="11.25" customHeight="1" hidden="1">
      <c r="A12" s="1366"/>
      <c s="1366"/>
      <c s="1366"/>
      <c s="1366"/>
      <c s="2262"/>
      <c s="2262"/>
      <c s="2262"/>
      <c s="2262"/>
      <c s="2289"/>
      <c s="2289"/>
      <c s="2259"/>
      <c s="1367"/>
      <c r="P12" s="2260"/>
      <c s="2260"/>
      <c s="2350"/>
      <c s="2346"/>
      <c s="2365"/>
      <c s="303"/>
      <c s="1396"/>
      <c s="1397" t="str">
        <f>Z8&amp;"-"&amp;AB8</f>
        <v>-</v>
      </c>
      <c s="1396"/>
      <c s="1397" t="str">
        <f>AB8&amp;"-"&amp;AD8</f>
        <v>-да</v>
      </c>
      <c s="1396"/>
      <c s="1396"/>
      <c s="1396"/>
      <c s="1396"/>
      <c s="2115"/>
      <c s="315"/>
      <c s="317"/>
      <c s="419" t="s">
        <v>505</v>
      </c>
      <c s="1396"/>
      <c s="1396"/>
      <c s="1396"/>
      <c s="1396"/>
      <c s="1396"/>
      <c s="1396"/>
      <c s="1396"/>
      <c s="1396"/>
      <c s="1396"/>
      <c s="1396"/>
      <c s="1396"/>
      <c s="1396"/>
      <c s="1396"/>
      <c s="1397" t="str">
        <f>AX8&amp;"-"&amp;AZ8</f>
        <v>-</v>
      </c>
      <c s="1396"/>
      <c s="1397" t="str">
        <f>AZ8&amp;"-"&amp;BB8</f>
        <v>-</v>
      </c>
      <c s="1396"/>
      <c s="1396"/>
      <c s="1396"/>
      <c s="1396"/>
      <c s="1399" t="str">
        <f>BE8&amp;"-"&amp;BG8</f>
        <v>-</v>
      </c>
      <c s="2257"/>
      <c r="BE12" s="503"/>
      <c s="503" t="str">
        <f>IF(T12="","",T12)</f>
        <v/>
      </c>
      <c s="503"/>
      <c s="503"/>
      <c s="1158">
        <v>0</v>
      </c>
    </row>
    <row r="13" spans="1:61" ht="11.25" customHeight="1" hidden="1">
      <c r="A13" s="1366"/>
      <c s="1366"/>
      <c s="1366"/>
      <c s="1366"/>
      <c s="2262"/>
      <c s="2262"/>
      <c s="2262"/>
      <c s="2262"/>
      <c s="2289"/>
      <c s="2259"/>
      <c s="1366"/>
      <c s="1367"/>
      <c r="P13" s="2260"/>
      <c s="2260"/>
      <c s="359"/>
      <c s="1281"/>
      <c s="290" t="s">
        <v>468</v>
      </c>
      <c s="370"/>
      <c s="370"/>
      <c s="370"/>
      <c s="370"/>
      <c s="370"/>
      <c s="370"/>
      <c s="370"/>
      <c s="370"/>
      <c s="370"/>
      <c s="1508"/>
      <c s="370"/>
      <c s="370"/>
      <c s="370"/>
      <c s="370"/>
      <c s="370"/>
      <c s="370"/>
      <c s="370"/>
      <c s="370"/>
      <c s="370"/>
      <c s="370"/>
      <c s="370"/>
      <c s="370"/>
      <c s="370"/>
      <c s="370"/>
      <c s="370"/>
      <c s="370"/>
      <c s="370"/>
      <c s="370"/>
      <c s="370"/>
      <c s="370"/>
      <c s="370"/>
      <c s="370"/>
      <c s="370"/>
      <c s="327"/>
      <c s="2258"/>
      <c r="BE13" s="503"/>
      <c s="503" t="str">
        <f>IF(T13="","",T13)</f>
        <v>Добавить строку</v>
      </c>
      <c s="503"/>
      <c s="503"/>
      <c s="1158">
        <v>0</v>
      </c>
    </row>
    <row r="14" spans="1:61" s="1645" customFormat="1" ht="14.25" customHeight="1" hidden="1">
      <c r="A14" s="1346"/>
      <c s="1346"/>
      <c s="1346"/>
      <c s="1346"/>
      <c s="2262"/>
      <c s="2262"/>
      <c s="2262"/>
      <c s="2262"/>
      <c s="2259"/>
      <c s="1346"/>
      <c s="1346"/>
      <c s="1349"/>
      <c s="513"/>
      <c s="513"/>
      <c s="513"/>
      <c s="2260"/>
      <c s="1484"/>
      <c s="359"/>
      <c s="1389"/>
      <c s="1390"/>
      <c s="1391"/>
      <c s="1391"/>
      <c s="1391"/>
      <c s="1391"/>
      <c s="1391"/>
      <c s="1391"/>
      <c s="1391"/>
      <c s="1391"/>
      <c s="1391"/>
      <c s="1391"/>
      <c s="1391"/>
      <c s="1391"/>
      <c s="1391"/>
      <c s="1391"/>
      <c s="1391"/>
      <c s="1391"/>
      <c s="1391"/>
      <c s="1391"/>
      <c s="1391"/>
      <c s="1391"/>
      <c s="1391"/>
      <c s="1391"/>
      <c s="1391"/>
      <c s="1391"/>
      <c s="1391"/>
      <c s="1391"/>
      <c s="1391"/>
      <c s="1391"/>
      <c s="1391"/>
      <c s="1391"/>
      <c s="1391"/>
      <c s="1391"/>
      <c s="1391"/>
      <c s="1391"/>
      <c s="1392"/>
      <c r="BE14" s="503"/>
      <c s="503" t="str">
        <f>IF(T14="","",T14)</f>
        <v/>
      </c>
      <c s="503"/>
      <c s="503"/>
      <c s="514">
        <v>0</v>
      </c>
    </row>
    <row r="15" spans="1:61" s="1645" customFormat="1" ht="14.25" customHeight="1" hidden="1">
      <c r="A15" s="1346"/>
      <c s="1346"/>
      <c s="1346"/>
      <c s="1346"/>
      <c s="2262"/>
      <c s="2262"/>
      <c s="2262"/>
      <c s="2261"/>
      <c s="1346"/>
      <c s="1346"/>
      <c s="1346"/>
      <c s="1349"/>
      <c s="1318"/>
      <c s="1318"/>
      <c s="521"/>
      <c s="383"/>
      <c s="1347"/>
      <c s="1404"/>
      <c s="1389"/>
      <c s="1390"/>
      <c s="1391"/>
      <c s="1391"/>
      <c s="1391"/>
      <c s="1391"/>
      <c s="1391"/>
      <c s="1391"/>
      <c s="1391"/>
      <c s="1391"/>
      <c s="1391"/>
      <c s="1391"/>
      <c s="1391"/>
      <c s="1391"/>
      <c s="1391"/>
      <c s="1391"/>
      <c s="1391"/>
      <c s="1391"/>
      <c s="1391"/>
      <c s="1391"/>
      <c s="1391"/>
      <c s="1391"/>
      <c s="1391"/>
      <c s="1391"/>
      <c s="1391"/>
      <c s="1391"/>
      <c s="1391"/>
      <c s="1391"/>
      <c s="1391"/>
      <c s="1391"/>
      <c s="1391"/>
      <c s="1391"/>
      <c s="1391"/>
      <c s="1391"/>
      <c s="1391"/>
      <c s="1391"/>
      <c s="1392"/>
      <c r="BE15" s="503"/>
      <c s="503" t="str">
        <f>IF(T15="","",T15)</f>
        <v/>
      </c>
      <c s="503"/>
      <c s="503"/>
      <c s="514">
        <v>0</v>
      </c>
    </row>
    <row r="16" spans="1:61" s="1645" customFormat="1" ht="14.25" customHeight="1" hidden="1">
      <c r="A16" s="1346"/>
      <c s="1346"/>
      <c s="1346"/>
      <c s="1317"/>
      <c s="2262"/>
      <c s="2262"/>
      <c s="2261"/>
      <c s="1317"/>
      <c s="1317"/>
      <c s="1317"/>
      <c s="1317"/>
      <c s="1497"/>
      <c s="1318"/>
      <c s="1318"/>
      <c r="P16" s="1319"/>
      <c s="1320"/>
      <c s="1319"/>
      <c s="1325"/>
      <c s="1328"/>
      <c s="1327"/>
      <c s="1327"/>
      <c s="1327"/>
      <c s="1327"/>
      <c s="1327"/>
      <c s="1327"/>
      <c s="1327"/>
      <c s="1327"/>
      <c s="1327"/>
      <c s="1327"/>
      <c s="1327"/>
      <c s="1327"/>
      <c s="1327"/>
      <c s="1327"/>
      <c s="1327"/>
      <c s="1327"/>
      <c s="1327"/>
      <c s="1327"/>
      <c s="1327"/>
      <c s="1327"/>
      <c s="1327"/>
      <c s="1327"/>
      <c s="1327"/>
      <c s="1327"/>
      <c s="1327"/>
      <c s="1327"/>
      <c s="1327"/>
      <c s="1327"/>
      <c s="1327"/>
      <c s="1327"/>
      <c s="1327"/>
      <c s="1327"/>
      <c s="1327"/>
      <c s="1327"/>
      <c s="1327"/>
      <c r="BE16" s="792"/>
      <c s="792" t="str">
        <f>IF(T16="","",T16)</f>
        <v/>
      </c>
      <c s="792"/>
      <c s="792"/>
      <c s="521">
        <v>0</v>
      </c>
    </row>
    <row r="17" spans="1:61" s="1645" customFormat="1" ht="14.25" customHeight="1" hidden="1">
      <c r="A17" s="1346"/>
      <c s="1346"/>
      <c s="1317"/>
      <c s="1317"/>
      <c s="2262"/>
      <c s="2261"/>
      <c s="1317"/>
      <c s="1317"/>
      <c s="1317"/>
      <c s="1317"/>
      <c s="1317"/>
      <c s="1497"/>
      <c s="1324"/>
      <c s="1324"/>
      <c r="P17" s="1319"/>
      <c s="1320"/>
      <c s="1319"/>
      <c s="1325"/>
      <c s="1328" t="s">
        <v>415</v>
      </c>
      <c s="1327"/>
      <c s="1327"/>
      <c s="1327"/>
      <c s="1327"/>
      <c s="1327"/>
      <c s="1327"/>
      <c s="1327"/>
      <c s="1327"/>
      <c s="1327"/>
      <c s="1327"/>
      <c s="1327"/>
      <c s="1327"/>
      <c s="1327"/>
      <c s="1327"/>
      <c s="1327"/>
      <c s="1327"/>
      <c s="1327"/>
      <c s="1327"/>
      <c s="1327"/>
      <c s="1327"/>
      <c s="1327"/>
      <c s="1327"/>
      <c s="1327"/>
      <c s="1327"/>
      <c s="1327"/>
      <c s="1327"/>
      <c s="1327"/>
      <c s="1327"/>
      <c s="1327"/>
      <c s="1327"/>
      <c s="1327"/>
      <c s="1327"/>
      <c s="1327"/>
      <c s="1327"/>
      <c s="1327"/>
      <c r="BE17" s="792"/>
      <c s="792" t="str">
        <f>IF(T17="","",T17)</f>
        <v>Добавить централизованную систему для дифференциации</v>
      </c>
      <c s="792"/>
      <c s="792"/>
      <c s="521">
        <v>0</v>
      </c>
    </row>
    <row r="18" spans="1:61" s="1645" customFormat="1" ht="14.25" customHeight="1" hidden="1">
      <c r="A18" s="1346"/>
      <c s="1346"/>
      <c s="1346"/>
      <c s="1346"/>
      <c s="2261"/>
      <c s="1346"/>
      <c s="1346"/>
      <c s="1346"/>
      <c s="1346"/>
      <c s="1346"/>
      <c s="1346"/>
      <c s="1349"/>
      <c s="1324"/>
      <c s="1324"/>
      <c s="521"/>
      <c s="383"/>
      <c s="1347"/>
      <c s="383"/>
      <c s="1325"/>
      <c s="1328" t="s">
        <v>416</v>
      </c>
      <c s="1327"/>
      <c s="1327"/>
      <c s="1327"/>
      <c s="1327"/>
      <c s="1327"/>
      <c s="1327"/>
      <c s="1327"/>
      <c s="1327"/>
      <c s="1327"/>
      <c s="1327"/>
      <c s="1327"/>
      <c s="1327"/>
      <c s="1327"/>
      <c s="1327"/>
      <c s="1327"/>
      <c s="1327"/>
      <c s="1327"/>
      <c s="1327"/>
      <c s="1327"/>
      <c s="1327"/>
      <c s="1327"/>
      <c s="1327"/>
      <c s="1327"/>
      <c s="1327"/>
      <c s="1327"/>
      <c s="1327"/>
      <c s="1327"/>
      <c s="1327"/>
      <c s="1327"/>
      <c s="1327"/>
      <c s="1327"/>
      <c s="1327"/>
      <c s="1327"/>
      <c s="1327"/>
      <c s="1327"/>
      <c r="BE18" s="503"/>
      <c s="503" t="str">
        <f>IF(T18="","",T18)</f>
        <v>Добавить территорию для дифференциации</v>
      </c>
      <c s="503"/>
      <c s="503"/>
      <c s="514">
        <v>0</v>
      </c>
    </row>
    <row r="19" spans="29:61" ht="14.25" customHeight="1" hidden="1">
      <c r="AC19" s="330"/>
      <c r="BA19" s="330"/>
      <c r="BI19" s="1158">
        <v>0</v>
      </c>
    </row>
    <row r="20" spans="30:61" ht="14.25" customHeight="1" hidden="1">
      <c r="AD20" s="1327" t="s">
        <v>19</v>
      </c>
      <c s="1504"/>
      <c s="551">
        <v>1</v>
      </c>
      <c s="1505"/>
      <c s="1327" t="s">
        <v>19</v>
      </c>
      <c s="1504"/>
      <c s="551">
        <v>1</v>
      </c>
      <c s="1505"/>
      <c s="1327" t="s">
        <v>19</v>
      </c>
      <c s="1506"/>
      <c s="551">
        <v>1</v>
      </c>
      <c s="1507"/>
      <c s="1327" t="s">
        <v>19</v>
      </c>
      <c s="1506"/>
      <c s="551">
        <v>1</v>
      </c>
      <c s="1507"/>
      <c s="328"/>
      <c s="387"/>
      <c s="328"/>
      <c s="387"/>
      <c s="1739"/>
      <c s="1488" t="s">
        <v>65</v>
      </c>
      <c s="1739"/>
      <c s="1488" t="s">
        <v>65</v>
      </c>
      <c r="BI20" s="1158">
        <v>0</v>
      </c>
    </row>
    <row r="21" spans="56:61" ht="14.25" customHeight="1" hidden="1">
      <c r="BD21" s="499"/>
      <c s="499"/>
      <c s="499"/>
      <c s="499"/>
      <c s="499"/>
      <c s="1158">
        <v>0</v>
      </c>
    </row>
    <row r="22" spans="15:29 50:61" ht="14.25" customHeight="1" hidden="1">
      <c r="O22" s="1370" t="s">
        <v>417</v>
      </c>
      <c r="Z22" s="1348"/>
      <c r="AB22" s="1348"/>
      <c s="330"/>
      <c r="AX22" s="1348"/>
      <c r="AZ22" s="1348"/>
      <c s="330"/>
      <c r="BD22" s="499"/>
      <c s="499"/>
      <c s="499"/>
      <c s="499"/>
      <c s="499"/>
      <c s="1158">
        <v>0</v>
      </c>
    </row>
    <row r="23" spans="29:61" ht="14.25" customHeight="1" hidden="1">
      <c r="AC23" s="330"/>
      <c r="BA23" s="330"/>
      <c r="BD23" s="499"/>
      <c s="499"/>
      <c s="499"/>
      <c s="499"/>
      <c s="499"/>
      <c s="1158">
        <v>0</v>
      </c>
    </row>
    <row r="24" spans="13:61" s="1512" customFormat="1" ht="14.25" customHeight="1" hidden="1">
      <c r="M24" s="1511"/>
      <c s="1511"/>
      <c s="1512" t="s">
        <v>418</v>
      </c>
      <c s="1511"/>
      <c s="1513"/>
      <c s="1513"/>
      <c r="AA24" s="1510" t="s">
        <v>420</v>
      </c>
      <c r="AC24" s="1510" t="s">
        <v>421</v>
      </c>
      <c s="1510" t="s">
        <v>469</v>
      </c>
      <c r="AH24" s="1510" t="s">
        <v>469</v>
      </c>
      <c r="AK24" s="1510" t="s">
        <v>506</v>
      </c>
      <c s="1510" t="s">
        <v>469</v>
      </c>
      <c r="AP24" s="1510" t="s">
        <v>469</v>
      </c>
      <c r="AY24" s="1510" t="s">
        <v>420</v>
      </c>
      <c r="BA24" s="1510" t="s">
        <v>421</v>
      </c>
      <c r="BD24" s="1514"/>
      <c s="1514"/>
      <c s="1514"/>
      <c s="1514"/>
      <c s="1514"/>
      <c s="1510">
        <v>0</v>
      </c>
    </row>
    <row r="25" spans="15:15 56:61" ht="14.25" customHeight="1" hidden="1">
      <c r="O25" s="1367"/>
      <c r="BD25" s="499"/>
      <c s="499"/>
      <c s="499"/>
      <c s="499"/>
      <c s="499"/>
      <c s="1158">
        <v>0</v>
      </c>
    </row>
    <row r="26" spans="15:15 56:61" ht="14.25" customHeight="1" hidden="1">
      <c r="O26" s="1367"/>
      <c r="BD26" s="499"/>
      <c s="499"/>
      <c s="499"/>
      <c s="499"/>
      <c s="499"/>
      <c s="1158">
        <v>0</v>
      </c>
    </row>
    <row r="27" spans="17:61" ht="14.7" customHeight="1">
      <c r="Q27" s="294"/>
      <c s="379"/>
      <c s="1278"/>
      <c s="366"/>
      <c s="366"/>
      <c s="512"/>
      <c s="512"/>
      <c s="512"/>
      <c s="512"/>
      <c s="512"/>
      <c s="512"/>
      <c s="512"/>
      <c s="512"/>
      <c s="512"/>
      <c s="512"/>
      <c s="512"/>
      <c s="512"/>
      <c s="512"/>
      <c s="512"/>
      <c s="512"/>
      <c s="512"/>
      <c s="512"/>
      <c s="512"/>
      <c s="512"/>
      <c s="512"/>
      <c s="512"/>
      <c s="512"/>
      <c s="512"/>
      <c s="512"/>
      <c s="512"/>
      <c s="512"/>
      <c s="512"/>
      <c s="512"/>
      <c s="512"/>
      <c s="512"/>
      <c s="512"/>
      <c s="512"/>
      <c r="BI27" s="1158">
        <v>14</v>
      </c>
    </row>
    <row r="28" spans="17:61" ht="14.7" customHeight="1">
      <c r="Q28" s="294"/>
      <c s="379"/>
      <c s="2251" t="str">
        <f>IF(TEMPLATE_GROUP="P",PT_P_FORM_HOTVSNA_5_NAME_FORM,PT_R_FORM_HOTVSNA_17_NAME_FORM)</f>
        <v>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v>
      </c>
      <c s="2251"/>
      <c s="2251"/>
      <c s="2251"/>
      <c s="2251"/>
      <c s="2251"/>
      <c s="2251"/>
      <c s="2251"/>
      <c s="2251"/>
      <c s="2251"/>
      <c s="2251"/>
      <c s="2251"/>
      <c s="2251"/>
      <c s="2251"/>
      <c s="2251"/>
      <c s="2251"/>
      <c s="2251"/>
      <c s="2251"/>
      <c s="2251"/>
      <c s="2251"/>
      <c s="2251"/>
      <c s="2251"/>
      <c s="2251"/>
      <c s="2251"/>
      <c s="2251"/>
      <c s="2251"/>
      <c s="2251"/>
      <c s="2251"/>
      <c s="2251"/>
      <c s="2251"/>
      <c s="2251"/>
      <c s="2251"/>
      <c s="2251"/>
      <c s="2251"/>
      <c s="1246"/>
      <c r="BI28" s="1158">
        <v>14</v>
      </c>
    </row>
    <row r="29" spans="17:61" ht="14.7" customHeight="1">
      <c r="Q29" s="294"/>
      <c s="379"/>
      <c s="2252" t="str">
        <f>IF(org=0,"Не определено",org)</f>
        <v>ГУП КК "Кубаньводкомплекс"</v>
      </c>
      <c s="2252"/>
      <c s="2252"/>
      <c s="2252"/>
      <c s="2252"/>
      <c s="2252"/>
      <c s="2252"/>
      <c s="2252"/>
      <c s="2252"/>
      <c s="2252"/>
      <c s="2252"/>
      <c s="2252"/>
      <c s="2252"/>
      <c s="2252"/>
      <c s="2252"/>
      <c s="2252"/>
      <c s="2252"/>
      <c s="2252"/>
      <c s="2252"/>
      <c s="2252"/>
      <c s="2252"/>
      <c s="2252"/>
      <c s="2252"/>
      <c s="2252"/>
      <c s="2252"/>
      <c s="2252"/>
      <c s="2252"/>
      <c s="2252"/>
      <c s="2252"/>
      <c s="2252"/>
      <c s="2252"/>
      <c s="2252"/>
      <c s="2252"/>
      <c s="2252"/>
      <c s="1246"/>
      <c r="BI29" s="1158">
        <v>14</v>
      </c>
    </row>
    <row r="30" spans="17:61" ht="14.25" customHeight="1" hidden="1">
      <c r="Q30" s="294"/>
      <c s="379"/>
      <c s="1278"/>
      <c s="366"/>
      <c s="366"/>
      <c s="325"/>
      <c s="325"/>
      <c s="325"/>
      <c s="325"/>
      <c s="325"/>
      <c s="325"/>
      <c s="325"/>
      <c s="325"/>
      <c s="325"/>
      <c s="325"/>
      <c s="325"/>
      <c s="325"/>
      <c s="325"/>
      <c s="325"/>
      <c s="325"/>
      <c s="325"/>
      <c s="325"/>
      <c s="325"/>
      <c s="325"/>
      <c s="325"/>
      <c s="325"/>
      <c s="325"/>
      <c s="325"/>
      <c s="325"/>
      <c s="325"/>
      <c s="325"/>
      <c s="325"/>
      <c s="325"/>
      <c s="325"/>
      <c s="325"/>
      <c s="325"/>
      <c s="325"/>
      <c s="512"/>
      <c r="BI30" s="1158">
        <v>0</v>
      </c>
    </row>
    <row r="31" spans="1:61" s="1856" customFormat="1" ht="25.5" customHeight="1" hidden="1">
      <c r="A31" s="1371"/>
      <c s="1371"/>
      <c s="1371"/>
      <c s="1371"/>
      <c s="1371"/>
      <c s="1371"/>
      <c s="1371"/>
      <c s="1371"/>
      <c s="1371"/>
      <c s="1371"/>
      <c s="1371"/>
      <c s="1372"/>
      <c s="1371"/>
      <c s="1371"/>
      <c s="1371"/>
      <c s="1371"/>
      <c s="1371"/>
      <c r="S31" s="2253" t="s">
        <v>42</v>
      </c>
      <c s="2253"/>
      <c s="1375"/>
      <c s="2254" t="str">
        <f>IF(TITLE_NAME_OR_PR_CHANGE="",IF(TITLE_NAME_OR_PR="","",TITLE_NAME_OR_PR),TITLE_NAME_OR_PR_CHANGE)</f>
        <v/>
      </c>
      <c s="2254"/>
      <c s="2254"/>
      <c s="2254"/>
      <c s="2254"/>
      <c s="2254"/>
      <c s="2254"/>
      <c s="329"/>
      <c s="2254" t="str">
        <f>IF(TITLE_NAME_OR_PR_CHANGE="",IF(TITLE_NAME_OR_PR="","",TITLE_NAME_OR_PR),TITLE_NAME_OR_PR_CHANGE)</f>
        <v/>
      </c>
      <c s="2254"/>
      <c s="2254"/>
      <c s="2254"/>
      <c s="2254"/>
      <c s="2254"/>
      <c s="2254"/>
      <c s="2254"/>
      <c s="2254"/>
      <c s="2254"/>
      <c s="2254"/>
      <c s="2254"/>
      <c s="2254"/>
      <c s="2254"/>
      <c s="2254"/>
      <c s="2254"/>
      <c s="2254"/>
      <c s="2254"/>
      <c s="2254"/>
      <c s="2254"/>
      <c s="2254"/>
      <c s="2254"/>
      <c s="2254"/>
      <c s="329"/>
      <c s="329"/>
      <c s="283"/>
      <c s="371"/>
      <c s="371"/>
      <c s="371"/>
      <c s="371"/>
      <c s="371"/>
      <c s="421">
        <v>0</v>
      </c>
    </row>
    <row r="32" spans="1:61" s="1856" customFormat="1" ht="18.75" customHeight="1" hidden="1">
      <c r="A32" s="1371"/>
      <c s="1371"/>
      <c s="1371"/>
      <c s="1371"/>
      <c s="1371"/>
      <c s="1371"/>
      <c s="1371"/>
      <c s="1371"/>
      <c s="1371"/>
      <c s="1371"/>
      <c s="1371"/>
      <c s="1372"/>
      <c s="1371"/>
      <c s="1371"/>
      <c s="1371"/>
      <c s="1371"/>
      <c s="1371"/>
      <c r="S32" s="2253" t="s">
        <v>423</v>
      </c>
      <c s="2253"/>
      <c s="1375"/>
      <c s="2267" t="str">
        <f>IF(TITLE_DATE_PR_CHANGE="",IF(TITLE_DATE_PR="","",TITLE_DATE_PR),TITLE_DATE_PR_CHANGE)</f>
        <v/>
      </c>
      <c s="2267"/>
      <c s="2267"/>
      <c s="2267"/>
      <c s="2267"/>
      <c s="2267"/>
      <c s="2267"/>
      <c s="329"/>
      <c s="2267" t="str">
        <f>IF(TITLE_DATE_PR_CHANGE="",IF(TITLE_DATE_PR="","",TITLE_DATE_PR),TITLE_DATE_PR_CHANGE)</f>
        <v/>
      </c>
      <c s="2267"/>
      <c s="2267"/>
      <c s="2267"/>
      <c s="2267"/>
      <c s="2267"/>
      <c s="2267"/>
      <c s="2267"/>
      <c s="2267"/>
      <c s="2267"/>
      <c s="2267"/>
      <c s="2267"/>
      <c s="2267"/>
      <c s="2267"/>
      <c s="2267"/>
      <c s="2267"/>
      <c s="2267"/>
      <c s="2267"/>
      <c s="2267"/>
      <c s="2267"/>
      <c s="2267"/>
      <c s="2267"/>
      <c s="2267"/>
      <c s="329"/>
      <c s="329"/>
      <c s="283"/>
      <c s="371"/>
      <c s="371"/>
      <c s="371"/>
      <c s="371"/>
      <c s="371"/>
      <c s="421">
        <v>0</v>
      </c>
    </row>
    <row r="33" spans="1:61" s="1856" customFormat="1" ht="18.75" customHeight="1" hidden="1">
      <c r="A33" s="1371"/>
      <c s="1371"/>
      <c s="1371"/>
      <c s="1371"/>
      <c s="1371"/>
      <c s="1371"/>
      <c s="1371"/>
      <c s="1371"/>
      <c s="1371"/>
      <c s="1371"/>
      <c s="1371"/>
      <c s="1372"/>
      <c s="1371"/>
      <c s="1371"/>
      <c s="1371"/>
      <c s="1371"/>
      <c s="1371"/>
      <c r="S33" s="2253" t="s">
        <v>424</v>
      </c>
      <c s="2253"/>
      <c s="1375"/>
      <c s="2254" t="str">
        <f>IF(TITLE_NUMBER_PR_CHANGE="",IF(TITLE_NUMBER_PR="","",TITLE_NUMBER_PR),TITLE_NUMBER_PR_CHANGE)</f>
        <v/>
      </c>
      <c s="2254"/>
      <c s="2254"/>
      <c s="2254"/>
      <c s="2254"/>
      <c s="2254"/>
      <c s="2254"/>
      <c s="329"/>
      <c s="2254" t="str">
        <f>IF(TITLE_NUMBER_PR_CHANGE="",IF(TITLE_NUMBER_PR="","",TITLE_NUMBER_PR),TITLE_NUMBER_PR_CHANGE)</f>
        <v/>
      </c>
      <c s="2254"/>
      <c s="2254"/>
      <c s="2254"/>
      <c s="2254"/>
      <c s="2254"/>
      <c s="2254"/>
      <c s="2254"/>
      <c s="2254"/>
      <c s="2254"/>
      <c s="2254"/>
      <c s="2254"/>
      <c s="2254"/>
      <c s="2254"/>
      <c s="2254"/>
      <c s="2254"/>
      <c s="2254"/>
      <c s="2254"/>
      <c s="2254"/>
      <c s="2254"/>
      <c s="2254"/>
      <c s="2254"/>
      <c s="2254"/>
      <c s="329"/>
      <c s="329"/>
      <c s="283"/>
      <c s="371"/>
      <c s="371"/>
      <c s="371"/>
      <c s="371"/>
      <c s="371"/>
      <c s="421">
        <v>0</v>
      </c>
    </row>
    <row r="34" spans="1:61" s="1856" customFormat="1" ht="18.75" customHeight="1" hidden="1">
      <c r="A34" s="1371"/>
      <c s="1371"/>
      <c s="1371"/>
      <c s="1371"/>
      <c s="1371"/>
      <c s="1371"/>
      <c s="1371"/>
      <c s="1371"/>
      <c s="1371"/>
      <c s="1371"/>
      <c s="1371"/>
      <c s="1372"/>
      <c s="1371"/>
      <c s="1371"/>
      <c s="1371"/>
      <c s="1371"/>
      <c s="1371"/>
      <c r="S34" s="2253" t="s">
        <v>43</v>
      </c>
      <c s="2253"/>
      <c s="1375"/>
      <c s="2254" t="str">
        <f>IF(TITLE_IST_PUB_CHANGE="",IF(TITLE_IST_PUB="","",TITLE_IST_PUB),TITLE_IST_PUB_CHANGE)</f>
        <v/>
      </c>
      <c s="2254"/>
      <c s="2254"/>
      <c s="2254"/>
      <c s="2254"/>
      <c s="2254"/>
      <c s="2254"/>
      <c s="329"/>
      <c s="2254" t="str">
        <f>IF(TITLE_IST_PUB_CHANGE="",IF(TITLE_IST_PUB="","",TITLE_IST_PUB),TITLE_IST_PUB_CHANGE)</f>
        <v/>
      </c>
      <c s="2254"/>
      <c s="2254"/>
      <c s="2254"/>
      <c s="2254"/>
      <c s="2254"/>
      <c s="2254"/>
      <c s="2254"/>
      <c s="2254"/>
      <c s="2254"/>
      <c s="2254"/>
      <c s="2254"/>
      <c s="2254"/>
      <c s="2254"/>
      <c s="2254"/>
      <c s="2254"/>
      <c s="2254"/>
      <c s="2254"/>
      <c s="2254"/>
      <c s="2254"/>
      <c s="2254"/>
      <c s="2254"/>
      <c s="2254"/>
      <c s="329"/>
      <c s="329"/>
      <c s="283"/>
      <c s="371"/>
      <c s="371"/>
      <c s="371"/>
      <c s="371"/>
      <c s="371"/>
      <c s="421">
        <v>0</v>
      </c>
    </row>
    <row r="35" spans="17:61" ht="14.25" customHeight="1" hidden="1">
      <c r="Q35" s="294"/>
      <c s="379"/>
      <c s="1278"/>
      <c s="366"/>
      <c s="366"/>
      <c s="325"/>
      <c s="325"/>
      <c s="325"/>
      <c s="325"/>
      <c s="325"/>
      <c s="325"/>
      <c s="325"/>
      <c s="325"/>
      <c s="325"/>
      <c s="325"/>
      <c s="325"/>
      <c s="325"/>
      <c s="325"/>
      <c s="325"/>
      <c s="325"/>
      <c s="325"/>
      <c s="325"/>
      <c s="325"/>
      <c s="325"/>
      <c s="325"/>
      <c s="325"/>
      <c s="325"/>
      <c s="325"/>
      <c s="325"/>
      <c s="325"/>
      <c s="325"/>
      <c s="325"/>
      <c s="325"/>
      <c s="325"/>
      <c s="325"/>
      <c s="325"/>
      <c s="325"/>
      <c s="512"/>
      <c r="BI35" s="1158">
        <v>0</v>
      </c>
    </row>
    <row r="36" spans="1:61" s="1856" customFormat="1" ht="18.75" customHeight="1" hidden="1">
      <c r="A36" s="1371"/>
      <c s="1371"/>
      <c s="1371"/>
      <c s="1371"/>
      <c s="1371"/>
      <c s="1371"/>
      <c s="1371"/>
      <c s="1371"/>
      <c s="1371"/>
      <c s="1371"/>
      <c s="1371"/>
      <c s="1372"/>
      <c s="1371"/>
      <c s="1371"/>
      <c s="1371"/>
      <c s="1371"/>
      <c s="1371"/>
      <c r="S36" s="2253" t="s">
        <v>423</v>
      </c>
      <c s="2253"/>
      <c s="1375"/>
      <c s="2267" t="str">
        <f>IF(TITLE_DATE_PR_CHANGE="",IF(TITLE_DATE_PR="","",TITLE_DATE_PR),TITLE_DATE_PR_CHANGE)</f>
        <v/>
      </c>
      <c s="2267"/>
      <c s="2267"/>
      <c s="2267"/>
      <c s="2267"/>
      <c s="2267"/>
      <c s="2267"/>
      <c s="329"/>
      <c s="2267" t="str">
        <f>IF(TITLE_DATE_PR_CHANGE="",IF(TITLE_DATE_PR="","",TITLE_DATE_PR),TITLE_DATE_PR_CHANGE)</f>
        <v/>
      </c>
      <c s="2267"/>
      <c s="2267"/>
      <c s="2267"/>
      <c s="2267"/>
      <c s="2267"/>
      <c s="2267"/>
      <c s="2267"/>
      <c s="2267"/>
      <c s="2267"/>
      <c s="2267"/>
      <c s="2267"/>
      <c s="2267"/>
      <c s="2267"/>
      <c s="2267"/>
      <c s="2267"/>
      <c s="2267"/>
      <c s="2267"/>
      <c s="2267"/>
      <c s="2267"/>
      <c s="2267"/>
      <c s="2267"/>
      <c s="2267"/>
      <c s="329"/>
      <c s="329"/>
      <c s="283"/>
      <c s="371"/>
      <c s="371"/>
      <c s="371"/>
      <c s="371"/>
      <c s="371"/>
      <c s="421">
        <v>0</v>
      </c>
    </row>
    <row r="37" spans="1:61" s="1856" customFormat="1" ht="18.75" customHeight="1" hidden="1">
      <c r="A37" s="1371"/>
      <c s="1371"/>
      <c s="1371"/>
      <c s="1371"/>
      <c s="1371"/>
      <c s="1371"/>
      <c s="1371"/>
      <c s="1371"/>
      <c s="1371"/>
      <c s="1371"/>
      <c s="1371"/>
      <c s="1372"/>
      <c s="1371"/>
      <c s="1371"/>
      <c s="1371"/>
      <c s="1371"/>
      <c s="1371"/>
      <c r="S37" s="2253" t="s">
        <v>424</v>
      </c>
      <c s="2253"/>
      <c s="1375"/>
      <c s="2254" t="str">
        <f>IF(TITLE_NUMBER_PR_CHANGE="",IF(TITLE_NUMBER_PR="","",TITLE_NUMBER_PR),TITLE_NUMBER_PR_CHANGE)</f>
        <v/>
      </c>
      <c s="2254"/>
      <c s="2254"/>
      <c s="2254"/>
      <c s="2254"/>
      <c s="2254"/>
      <c s="2254"/>
      <c s="329"/>
      <c s="2254" t="str">
        <f>IF(TITLE_NUMBER_PR_CHANGE="",IF(TITLE_NUMBER_PR="","",TITLE_NUMBER_PR),TITLE_NUMBER_PR_CHANGE)</f>
        <v/>
      </c>
      <c s="2254"/>
      <c s="2254"/>
      <c s="2254"/>
      <c s="2254"/>
      <c s="2254"/>
      <c s="2254"/>
      <c s="2254"/>
      <c s="2254"/>
      <c s="2254"/>
      <c s="2254"/>
      <c s="2254"/>
      <c s="2254"/>
      <c s="2254"/>
      <c s="2254"/>
      <c s="2254"/>
      <c s="2254"/>
      <c s="2254"/>
      <c s="2254"/>
      <c s="2254"/>
      <c s="2254"/>
      <c s="2254"/>
      <c s="2254"/>
      <c s="329"/>
      <c s="329"/>
      <c s="283"/>
      <c s="371"/>
      <c s="371"/>
      <c s="371"/>
      <c s="371"/>
      <c s="371"/>
      <c s="421">
        <v>0</v>
      </c>
    </row>
    <row r="38" spans="1:61" s="1856" customFormat="1" ht="0" customHeight="1">
      <c r="A38" s="1371"/>
      <c s="1371"/>
      <c s="1371"/>
      <c s="1371"/>
      <c s="1371"/>
      <c s="1371"/>
      <c s="1371"/>
      <c s="1371"/>
      <c s="1371"/>
      <c s="1371"/>
      <c s="1371"/>
      <c s="1372"/>
      <c s="1371"/>
      <c s="1371"/>
      <c s="1371"/>
      <c s="1371"/>
      <c s="1371"/>
      <c r="S38" s="326"/>
      <c s="326"/>
      <c s="1491"/>
      <c s="329"/>
      <c s="329"/>
      <c s="329"/>
      <c s="329"/>
      <c s="329"/>
      <c s="329"/>
      <c s="329"/>
      <c s="281" t="s">
        <v>427</v>
      </c>
      <c s="329"/>
      <c s="329"/>
      <c s="329"/>
      <c s="329"/>
      <c s="329"/>
      <c s="329"/>
      <c s="329"/>
      <c s="329"/>
      <c s="329"/>
      <c s="329"/>
      <c s="329"/>
      <c s="329"/>
      <c s="329"/>
      <c s="329"/>
      <c s="329"/>
      <c s="329"/>
      <c s="329"/>
      <c s="329"/>
      <c s="329"/>
      <c s="329"/>
      <c s="329"/>
      <c s="329"/>
      <c s="329"/>
      <c s="281" t="s">
        <v>427</v>
      </c>
      <c r="BD38" s="371"/>
      <c s="371"/>
      <c s="371"/>
      <c s="371"/>
      <c s="371"/>
      <c s="421">
        <v>0</v>
      </c>
    </row>
    <row r="39" spans="17:61" ht="14.7" customHeight="1">
      <c r="Q39" s="294"/>
      <c s="379"/>
      <c s="1278"/>
      <c s="366"/>
      <c s="1247"/>
      <c s="2255"/>
      <c s="2255"/>
      <c s="2255"/>
      <c s="2255"/>
      <c s="2255"/>
      <c s="2255"/>
      <c s="2255"/>
      <c s="2255"/>
      <c s="2255"/>
      <c s="2255"/>
      <c s="2255"/>
      <c s="2255"/>
      <c s="2255"/>
      <c s="2255"/>
      <c s="2255"/>
      <c s="2255"/>
      <c s="2255"/>
      <c s="2255"/>
      <c s="2255"/>
      <c s="2255"/>
      <c s="2255"/>
      <c s="2255"/>
      <c s="2255"/>
      <c s="2255"/>
      <c s="2255"/>
      <c s="2255"/>
      <c s="2255"/>
      <c s="2255"/>
      <c s="2255"/>
      <c s="2255"/>
      <c s="2255"/>
      <c s="2255"/>
      <c r="BI39" s="1158">
        <v>14</v>
      </c>
    </row>
    <row r="40" spans="17:61" ht="14.7" customHeight="1">
      <c r="Q40" s="294"/>
      <c s="379"/>
      <c s="2130" t="s">
        <v>300</v>
      </c>
      <c s="2130"/>
      <c s="2130"/>
      <c s="2130"/>
      <c s="2130"/>
      <c s="2130"/>
      <c s="2130"/>
      <c s="2130"/>
      <c s="2130"/>
      <c s="2130"/>
      <c s="2130"/>
      <c s="2130"/>
      <c s="2130"/>
      <c s="2130"/>
      <c s="2130"/>
      <c s="2130"/>
      <c s="2130"/>
      <c s="2130"/>
      <c s="2130"/>
      <c s="2130"/>
      <c s="2130"/>
      <c s="2130"/>
      <c s="2130"/>
      <c s="2130"/>
      <c s="2130"/>
      <c s="2130"/>
      <c s="2130"/>
      <c s="2130"/>
      <c s="2130"/>
      <c s="2130"/>
      <c s="2130"/>
      <c s="2130"/>
      <c s="2130"/>
      <c s="2130"/>
      <c s="2130"/>
      <c s="2130"/>
      <c s="2130" t="s">
        <v>301</v>
      </c>
      <c r="BI40" s="1158">
        <v>14</v>
      </c>
    </row>
    <row r="41" spans="17:61" ht="14.7" customHeight="1">
      <c r="Q41" s="294"/>
      <c s="379"/>
      <c s="2276" t="s">
        <v>87</v>
      </c>
      <c s="2212" t="s">
        <v>507</v>
      </c>
      <c s="304"/>
      <c s="2277" t="s">
        <v>429</v>
      </c>
      <c s="2278"/>
      <c s="2278"/>
      <c s="2278"/>
      <c s="2278"/>
      <c s="2278"/>
      <c s="2279"/>
      <c s="2280" t="s">
        <v>430</v>
      </c>
      <c s="2331" t="s">
        <v>508</v>
      </c>
      <c s="2294"/>
      <c s="2294"/>
      <c s="2332"/>
      <c s="2331" t="s">
        <v>509</v>
      </c>
      <c s="2294"/>
      <c s="2294"/>
      <c s="2332"/>
      <c s="2331" t="s">
        <v>510</v>
      </c>
      <c s="2294"/>
      <c s="2294"/>
      <c s="2332"/>
      <c s="2331" t="s">
        <v>511</v>
      </c>
      <c s="2294"/>
      <c s="2294"/>
      <c s="2332"/>
      <c s="2277" t="s">
        <v>429</v>
      </c>
      <c s="2278"/>
      <c s="2278"/>
      <c s="2278"/>
      <c s="2278"/>
      <c s="2278"/>
      <c s="2279"/>
      <c s="2280" t="s">
        <v>430</v>
      </c>
      <c s="2283" t="s">
        <v>432</v>
      </c>
      <c s="2130"/>
      <c r="BI41" s="1158">
        <v>14</v>
      </c>
    </row>
    <row r="42" spans="17:61" ht="35.7" customHeight="1">
      <c r="Q42" s="294"/>
      <c s="379"/>
      <c s="2276"/>
      <c s="2212"/>
      <c s="1034"/>
      <c s="2195" t="s">
        <v>512</v>
      </c>
      <c s="2196"/>
      <c s="2195" t="s">
        <v>513</v>
      </c>
      <c s="2196"/>
      <c s="2297" t="s">
        <v>514</v>
      </c>
      <c s="2316"/>
      <c s="2317"/>
      <c s="2281"/>
      <c s="2333"/>
      <c s="2334"/>
      <c s="2334"/>
      <c s="2335"/>
      <c s="2333"/>
      <c s="2334"/>
      <c s="2334"/>
      <c s="2335"/>
      <c s="2333"/>
      <c s="2334"/>
      <c s="2334"/>
      <c s="2335"/>
      <c s="2333"/>
      <c s="2334"/>
      <c s="2334"/>
      <c s="2335"/>
      <c s="2195" t="s">
        <v>512</v>
      </c>
      <c s="2196"/>
      <c s="2195" t="s">
        <v>513</v>
      </c>
      <c s="2196"/>
      <c s="2297" t="s">
        <v>514</v>
      </c>
      <c s="2316"/>
      <c s="2317"/>
      <c s="2281"/>
      <c s="2284"/>
      <c s="2130"/>
      <c r="BI42" s="1158">
        <v>34</v>
      </c>
    </row>
    <row r="43" spans="17:61" ht="14.7" customHeight="1">
      <c r="Q43" s="294"/>
      <c s="379"/>
      <c s="2276"/>
      <c s="2212"/>
      <c s="1034"/>
      <c s="2203"/>
      <c s="2204"/>
      <c s="2203"/>
      <c s="2204"/>
      <c s="2298"/>
      <c s="2318"/>
      <c s="2319"/>
      <c s="2281"/>
      <c s="2333"/>
      <c s="2334"/>
      <c s="2334"/>
      <c s="2335"/>
      <c s="2333"/>
      <c s="2334"/>
      <c s="2334"/>
      <c s="2335"/>
      <c s="2333"/>
      <c s="2334"/>
      <c s="2334"/>
      <c s="2335"/>
      <c s="2333"/>
      <c s="2334"/>
      <c s="2334"/>
      <c s="2335"/>
      <c s="2203"/>
      <c s="2204"/>
      <c s="2203"/>
      <c s="2204"/>
      <c s="2298"/>
      <c s="2318"/>
      <c s="2319"/>
      <c s="2281"/>
      <c s="2284"/>
      <c s="2130"/>
      <c r="BI43" s="1158">
        <v>14</v>
      </c>
    </row>
    <row r="44" spans="1:61" ht="14.7" customHeight="1">
      <c r="A44" s="1373"/>
      <c s="1373" t="s">
        <v>137</v>
      </c>
      <c s="1373" t="s">
        <v>138</v>
      </c>
      <c s="1373" t="s">
        <v>139</v>
      </c>
      <c s="1367" t="s">
        <v>437</v>
      </c>
      <c s="1367" t="s">
        <v>438</v>
      </c>
      <c s="1367" t="s">
        <v>439</v>
      </c>
      <c s="1367" t="s">
        <v>440</v>
      </c>
      <c s="1367" t="s">
        <v>441</v>
      </c>
      <c s="1367" t="s">
        <v>442</v>
      </c>
      <c s="1367" t="s">
        <v>443</v>
      </c>
      <c s="1367" t="s">
        <v>418</v>
      </c>
      <c r="Q44" s="294"/>
      <c s="379"/>
      <c s="2276"/>
      <c s="2212"/>
      <c s="305"/>
      <c s="1482" t="s">
        <v>478</v>
      </c>
      <c s="1482" t="s">
        <v>479</v>
      </c>
      <c s="1482" t="s">
        <v>478</v>
      </c>
      <c s="1482" t="s">
        <v>479</v>
      </c>
      <c s="1492" t="s">
        <v>446</v>
      </c>
      <c s="2273" t="s">
        <v>447</v>
      </c>
      <c s="2274"/>
      <c s="2282"/>
      <c s="2336"/>
      <c s="2337"/>
      <c s="2337"/>
      <c s="2338"/>
      <c s="2336"/>
      <c s="2337"/>
      <c s="2337"/>
      <c s="2338"/>
      <c s="2336"/>
      <c s="2337"/>
      <c s="2337"/>
      <c s="2338"/>
      <c s="2336"/>
      <c s="2337"/>
      <c s="2337"/>
      <c s="2338"/>
      <c s="1482" t="s">
        <v>478</v>
      </c>
      <c s="1482" t="s">
        <v>479</v>
      </c>
      <c s="1482" t="s">
        <v>478</v>
      </c>
      <c s="1482" t="s">
        <v>479</v>
      </c>
      <c s="1492" t="s">
        <v>446</v>
      </c>
      <c s="2273" t="s">
        <v>447</v>
      </c>
      <c s="2274"/>
      <c s="2282"/>
      <c s="2285"/>
      <c s="2130"/>
      <c r="BI44" s="1158">
        <v>14</v>
      </c>
    </row>
    <row r="45" spans="1:61" s="1644" customFormat="1" ht="0" customHeight="1">
      <c r="A45" s="1373"/>
      <c s="1373"/>
      <c s="1373"/>
      <c s="1373"/>
      <c s="1373"/>
      <c s="1373"/>
      <c s="1373"/>
      <c s="1373"/>
      <c s="1373"/>
      <c s="1373"/>
      <c s="1373"/>
      <c s="1367"/>
      <c s="1365"/>
      <c s="1365"/>
      <c s="1365"/>
      <c s="513"/>
      <c s="1257"/>
      <c s="1257">
        <v>1</v>
      </c>
      <c s="1280" t="s">
        <v>109</v>
      </c>
      <c s="1258" t="s">
        <v>110</v>
      </c>
      <c s="1248" t="str">
        <f ca="1">OFFSET(U45,0,-1)</f>
        <v>2</v>
      </c>
      <c s="1485">
        <f ca="1">OFFSET(V45,0,-1)+1</f>
        <v>3</v>
      </c>
      <c s="1485">
        <f ca="1">OFFSET(W45,0,-1)+1</f>
        <v>4</v>
      </c>
      <c s="1485">
        <f ca="1">OFFSET(X45,0,-1)+1</f>
        <v>5</v>
      </c>
      <c s="1485">
        <f ca="1">OFFSET(Y45,0,-1)+1</f>
        <v>6</v>
      </c>
      <c s="1485">
        <f ca="1">OFFSET(Z45,0,-1)+1</f>
        <v>7</v>
      </c>
      <c s="2275">
        <f ca="1">OFFSET(AA45,0,-1)+1</f>
        <v>8</v>
      </c>
      <c s="2275"/>
      <c s="1485">
        <f ca="1">OFFSET(AC45,0,-2)+1</f>
        <v>9</v>
      </c>
      <c s="1485">
        <f ca="1">OFFSET(AD45,0,-1)+1</f>
        <v>10</v>
      </c>
      <c s="1485"/>
      <c s="1485"/>
      <c s="1485"/>
      <c s="1485"/>
      <c s="1485"/>
      <c s="1485"/>
      <c s="1485"/>
      <c s="1485"/>
      <c s="1485"/>
      <c s="1485"/>
      <c s="1485"/>
      <c s="1485"/>
      <c s="1485"/>
      <c s="1485"/>
      <c s="1485"/>
      <c s="1485"/>
      <c s="1485"/>
      <c s="1485"/>
      <c s="1485">
        <f ca="1">OFFSET(AW45,0,-1)+1</f>
        <v>1</v>
      </c>
      <c s="1485">
        <f ca="1">OFFSET(AX45,0,-1)+1</f>
        <v>2</v>
      </c>
      <c s="2275">
        <f ca="1">OFFSET(AY45,0,-1)+1</f>
        <v>3</v>
      </c>
      <c s="2275"/>
      <c s="1485">
        <f ca="1">OFFSET(BA45,0,-2)+1</f>
        <v>4</v>
      </c>
      <c s="1248">
        <f ca="1">OFFSET(BB45,0,-1)</f>
        <v>4</v>
      </c>
      <c s="1485">
        <f ca="1">OFFSET(BC45,0,-1)+1</f>
        <v>5</v>
      </c>
      <c s="514"/>
      <c s="514"/>
      <c s="514"/>
      <c s="514"/>
      <c s="514"/>
      <c s="499">
        <v>0</v>
      </c>
    </row>
    <row r="46" spans="1:61" ht="22.05" customHeight="1">
      <c r="A46" s="1366" t="s">
        <v>261</v>
      </c>
      <c s="1366"/>
      <c s="1366"/>
      <c s="1366"/>
      <c s="2261">
        <v>1</v>
      </c>
      <c s="1366"/>
      <c s="1366"/>
      <c s="1366"/>
      <c s="1366"/>
      <c s="1366"/>
      <c s="1366"/>
      <c s="1367"/>
      <c s="1368"/>
      <c s="1368"/>
      <c s="1368"/>
      <c s="1412"/>
      <c s="876"/>
      <c s="358"/>
      <c s="1496">
        <f>INDEX(PT_DIFFERENTIATION_NUM_NTAR,MATCH(A46,PT_DIFFERENTIATION_NTAR_ID,0))</f>
        <v>0</v>
      </c>
      <c s="301" t="s">
        <v>125</v>
      </c>
      <c s="303"/>
      <c s="2246"/>
      <c s="2246"/>
      <c s="2246"/>
      <c s="2246"/>
      <c s="2246"/>
      <c s="2246"/>
      <c s="2246"/>
      <c s="2247"/>
      <c s="2245" t="str">
        <f>INDEX(PT_DIFFERENTIATION_NTAR,MATCH(A46,PT_DIFFERENTIATION_NTAR_ID,0))</f>
        <v/>
      </c>
      <c s="2246"/>
      <c s="2246"/>
      <c s="2246"/>
      <c s="2246"/>
      <c s="2246"/>
      <c s="2246"/>
      <c s="2246"/>
      <c s="2246"/>
      <c s="2246"/>
      <c s="2246"/>
      <c s="2246"/>
      <c s="2246"/>
      <c s="2246"/>
      <c s="2246"/>
      <c s="2246"/>
      <c s="2246"/>
      <c s="2246"/>
      <c s="2246"/>
      <c s="2246"/>
      <c s="2246"/>
      <c s="2246"/>
      <c s="2246"/>
      <c s="2246"/>
      <c s="2247"/>
      <c s="126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503"/>
      <c s="503" t="str">
        <f>IF(T46="","",T46)</f>
        <v>Наименование тарифа</v>
      </c>
      <c s="503"/>
      <c s="503"/>
      <c s="1158">
        <v>21</v>
      </c>
    </row>
    <row r="47" spans="1:61" ht="22.05" customHeight="1">
      <c r="A47" s="1366" t="s">
        <v>261</v>
      </c>
      <c s="1366" t="s">
        <v>262</v>
      </c>
      <c s="1366"/>
      <c s="1366"/>
      <c s="2262"/>
      <c s="2261">
        <v>1</v>
      </c>
      <c s="1366"/>
      <c s="1366"/>
      <c s="1366"/>
      <c s="1366"/>
      <c s="1366"/>
      <c s="1367"/>
      <c s="1368"/>
      <c s="1368"/>
      <c s="1368"/>
      <c s="1413"/>
      <c s="1414"/>
      <c s="356"/>
      <c s="1496" t="str">
        <f>INDEX(PT_DIFFERENTIATION_NUM_TER,MATCH(B47,PT_DIFFERENTIATION_TER_ID,0))</f>
        <v>.</v>
      </c>
      <c s="311" t="s">
        <v>397</v>
      </c>
      <c s="303"/>
      <c s="2246"/>
      <c s="2246"/>
      <c s="2246"/>
      <c s="2246"/>
      <c s="2246"/>
      <c s="2246"/>
      <c s="2246"/>
      <c s="2247"/>
      <c s="2245" t="str">
        <f>INDEX(PT_DIFFERENTIATION_TER,MATCH(B47,PT_DIFFERENTIATION_TER_ID,0))</f>
        <v/>
      </c>
      <c s="2246"/>
      <c s="2246"/>
      <c s="2246"/>
      <c s="2246"/>
      <c s="2246"/>
      <c s="2246"/>
      <c s="2246"/>
      <c s="2246"/>
      <c s="2246"/>
      <c s="2246"/>
      <c s="2246"/>
      <c s="2246"/>
      <c s="2246"/>
      <c s="2246"/>
      <c s="2246"/>
      <c s="2246"/>
      <c s="2246"/>
      <c s="2246"/>
      <c s="2246"/>
      <c s="2246"/>
      <c s="2246"/>
      <c s="2246"/>
      <c s="2246"/>
      <c s="2247"/>
      <c s="1261" t="s">
        <v>398</v>
      </c>
      <c r="BE47" s="503"/>
      <c s="503" t="str">
        <f>IF(T47="","",T47)</f>
        <v>Территория действия тарифа</v>
      </c>
      <c s="503"/>
      <c s="503"/>
      <c s="1158">
        <v>21</v>
      </c>
    </row>
    <row r="48" spans="1:61" ht="35.7" customHeight="1">
      <c r="A48" s="1366" t="s">
        <v>261</v>
      </c>
      <c s="1366" t="s">
        <v>262</v>
      </c>
      <c s="1366" t="s">
        <v>263</v>
      </c>
      <c s="1366"/>
      <c s="2262"/>
      <c s="2262"/>
      <c s="2261">
        <v>1</v>
      </c>
      <c s="1366"/>
      <c s="1366"/>
      <c s="1366"/>
      <c s="1366"/>
      <c s="1367"/>
      <c s="1368"/>
      <c s="1368"/>
      <c s="1368"/>
      <c s="1415"/>
      <c s="1414"/>
      <c s="356"/>
      <c s="1496" t="str">
        <f>INDEX(PT_DIFFERENTIATION_NUM_CS,MATCH(C48,PT_DIFFERENTIATION_CS_ID,0))</f>
        <v>..</v>
      </c>
      <c s="312" t="s">
        <v>530</v>
      </c>
      <c s="303"/>
      <c s="2246"/>
      <c s="2246"/>
      <c s="2246"/>
      <c s="2246"/>
      <c s="2246"/>
      <c s="2246"/>
      <c s="2246"/>
      <c s="2247"/>
      <c s="2245" t="str">
        <f>INDEX(PT_DIFFERENTIATION_CS,MATCH(C48,PT_DIFFERENTIATION_CS_ID,0))</f>
        <v/>
      </c>
      <c s="2246"/>
      <c s="2246"/>
      <c s="2246"/>
      <c s="2246"/>
      <c s="2246"/>
      <c s="2246"/>
      <c s="2246"/>
      <c s="2246"/>
      <c s="2246"/>
      <c s="2246"/>
      <c s="2246"/>
      <c s="2246"/>
      <c s="2246"/>
      <c s="2246"/>
      <c s="2246"/>
      <c s="2246"/>
      <c s="2246"/>
      <c s="2246"/>
      <c s="2246"/>
      <c s="2246"/>
      <c s="2246"/>
      <c s="2246"/>
      <c s="2246"/>
      <c s="2247"/>
      <c s="1261" t="s">
        <v>531</v>
      </c>
      <c r="BE48" s="503"/>
      <c s="503" t="str">
        <f>IF(T48="","",T48)</f>
        <v>Наименование централизованной системы горячего водоснабжения</v>
      </c>
      <c s="503"/>
      <c s="503"/>
      <c s="1158">
        <v>34</v>
      </c>
    </row>
    <row r="49" spans="1:61" s="1645" customFormat="1" ht="0" customHeight="1">
      <c r="A49" s="1346" t="s">
        <v>261</v>
      </c>
      <c s="1346" t="s">
        <v>262</v>
      </c>
      <c s="1346" t="s">
        <v>263</v>
      </c>
      <c s="1346" t="s">
        <v>544</v>
      </c>
      <c s="2262"/>
      <c s="2262"/>
      <c s="2262"/>
      <c s="2261">
        <v>1</v>
      </c>
      <c s="1346"/>
      <c s="1346"/>
      <c s="1346"/>
      <c s="1349"/>
      <c s="1318"/>
      <c s="1318"/>
      <c s="1318"/>
      <c s="1500"/>
      <c s="1501"/>
      <c s="360"/>
      <c s="1045"/>
      <c s="1502"/>
      <c s="1387"/>
      <c s="2300"/>
      <c s="2300"/>
      <c s="2300"/>
      <c s="2300"/>
      <c s="2300"/>
      <c s="2300"/>
      <c s="2300"/>
      <c s="2301"/>
      <c s="2299"/>
      <c s="2300"/>
      <c s="2300"/>
      <c s="2300"/>
      <c s="2300"/>
      <c s="2300"/>
      <c s="2300"/>
      <c s="2300"/>
      <c s="2300"/>
      <c s="2300"/>
      <c s="2300"/>
      <c s="2300"/>
      <c s="2300"/>
      <c s="2300"/>
      <c s="2300"/>
      <c s="2300"/>
      <c s="2300"/>
      <c s="2300"/>
      <c s="2300"/>
      <c s="2300"/>
      <c s="2300"/>
      <c s="2300"/>
      <c s="2300"/>
      <c s="2300"/>
      <c s="2301"/>
      <c s="1388" t="s">
        <v>402</v>
      </c>
      <c r="BE49" s="503"/>
      <c s="503" t="str">
        <f>IF(T49="","",T49)</f>
        <v/>
      </c>
      <c s="503"/>
      <c s="503"/>
      <c s="514">
        <v>0</v>
      </c>
    </row>
    <row r="50" spans="1:61" s="1645" customFormat="1" ht="0" customHeight="1">
      <c r="A50" s="1346" t="s">
        <v>261</v>
      </c>
      <c s="1346" t="s">
        <v>262</v>
      </c>
      <c s="1346" t="s">
        <v>263</v>
      </c>
      <c s="1346" t="s">
        <v>544</v>
      </c>
      <c s="2262"/>
      <c s="2262"/>
      <c s="2262"/>
      <c s="2262"/>
      <c s="2259" t="str">
        <f>S49&amp;".1"</f>
        <v>.1</v>
      </c>
      <c s="1346"/>
      <c s="1346"/>
      <c s="1349" t="s">
        <v>403</v>
      </c>
      <c s="513"/>
      <c s="513"/>
      <c s="513"/>
      <c s="2260">
        <v>1</v>
      </c>
      <c s="1484"/>
      <c s="359"/>
      <c s="1045"/>
      <c s="1386"/>
      <c s="1387"/>
      <c s="2300"/>
      <c s="2300"/>
      <c s="2300"/>
      <c s="2300"/>
      <c s="2300"/>
      <c s="2300"/>
      <c s="2300"/>
      <c s="2301"/>
      <c s="2299"/>
      <c s="2300"/>
      <c s="2300"/>
      <c s="2300"/>
      <c s="2300"/>
      <c s="2300"/>
      <c s="2300"/>
      <c s="2300"/>
      <c s="2300"/>
      <c s="2300"/>
      <c s="2300"/>
      <c s="2300"/>
      <c s="2300"/>
      <c s="2300"/>
      <c s="2300"/>
      <c s="2300"/>
      <c s="2300"/>
      <c s="2300"/>
      <c s="2300"/>
      <c s="2300"/>
      <c s="2300"/>
      <c s="2300"/>
      <c s="2300"/>
      <c s="2300"/>
      <c s="2301"/>
      <c s="1388"/>
      <c r="BE50" s="503"/>
      <c s="503" t="str">
        <f>IF(T50="","",T50)</f>
        <v/>
      </c>
      <c s="503"/>
      <c s="503"/>
      <c s="514">
        <v>0</v>
      </c>
    </row>
    <row r="51" spans="1:61" s="1645" customFormat="1" ht="0" customHeight="1">
      <c r="A51" s="1346" t="s">
        <v>261</v>
      </c>
      <c s="1346" t="s">
        <v>262</v>
      </c>
      <c s="1346" t="s">
        <v>263</v>
      </c>
      <c s="1346" t="s">
        <v>544</v>
      </c>
      <c s="2262"/>
      <c s="2262"/>
      <c s="2262"/>
      <c s="2262"/>
      <c s="2289"/>
      <c s="2259" t="str">
        <f>S49&amp;".1"</f>
        <v>.1</v>
      </c>
      <c s="1346"/>
      <c s="1349"/>
      <c s="513"/>
      <c s="513"/>
      <c s="513"/>
      <c s="2260"/>
      <c s="2260">
        <v>1</v>
      </c>
      <c s="360"/>
      <c s="1045"/>
      <c s="1402"/>
      <c s="1387"/>
      <c s="2300"/>
      <c s="2300"/>
      <c s="2300"/>
      <c s="2300"/>
      <c s="2300"/>
      <c s="2300"/>
      <c s="2300"/>
      <c s="2301"/>
      <c s="2299"/>
      <c s="2300"/>
      <c s="2300"/>
      <c s="2300"/>
      <c s="2300"/>
      <c s="2300"/>
      <c s="2300"/>
      <c s="2300"/>
      <c s="2300"/>
      <c s="2300"/>
      <c s="2367"/>
      <c s="2367"/>
      <c s="2300"/>
      <c s="2300"/>
      <c s="2300"/>
      <c s="2300"/>
      <c s="2300"/>
      <c s="2300"/>
      <c s="2300"/>
      <c s="2300"/>
      <c s="2300"/>
      <c s="2300"/>
      <c s="2300"/>
      <c s="2300"/>
      <c s="2301"/>
      <c s="1388"/>
      <c r="BE51" s="503"/>
      <c s="503" t="str">
        <f>IF(T51="","",T51)</f>
        <v/>
      </c>
      <c s="503"/>
      <c s="503"/>
      <c s="514">
        <v>0</v>
      </c>
    </row>
    <row r="52" spans="1:61" ht="11.55" customHeight="1">
      <c r="A52" s="1366" t="s">
        <v>261</v>
      </c>
      <c s="1366" t="s">
        <v>262</v>
      </c>
      <c s="1366" t="s">
        <v>263</v>
      </c>
      <c s="1366" t="s">
        <v>544</v>
      </c>
      <c s="2262"/>
      <c s="2262"/>
      <c s="2262"/>
      <c s="2262"/>
      <c s="2289"/>
      <c s="2289"/>
      <c s="2259" t="str">
        <f>S48&amp;".1"</f>
        <v>...1</v>
      </c>
      <c s="1367"/>
      <c r="P52" s="2260"/>
      <c s="2260"/>
      <c s="360">
        <v>1</v>
      </c>
      <c s="2344" t="str">
        <f>$K52</f>
        <v>...1</v>
      </c>
      <c s="2363"/>
      <c s="303"/>
      <c s="754"/>
      <c s="1260"/>
      <c s="754"/>
      <c s="1260"/>
      <c s="1737"/>
      <c s="1472" t="s">
        <v>65</v>
      </c>
      <c s="1737"/>
      <c s="1472" t="s">
        <v>65</v>
      </c>
      <c s="2188" t="s">
        <v>65</v>
      </c>
      <c s="2329"/>
      <c s="2208">
        <v>1</v>
      </c>
      <c s="2366"/>
      <c s="2110" t="s">
        <v>65</v>
      </c>
      <c s="2329"/>
      <c s="2208">
        <v>1</v>
      </c>
      <c s="2330" t="s">
        <v>22</v>
      </c>
      <c s="2110" t="s">
        <v>65</v>
      </c>
      <c s="2195"/>
      <c s="2208">
        <v>1</v>
      </c>
      <c s="2360"/>
      <c s="2361" t="s">
        <v>65</v>
      </c>
      <c s="314"/>
      <c s="1489">
        <v>1</v>
      </c>
      <c s="1495" t="s">
        <v>22</v>
      </c>
      <c s="754"/>
      <c s="1260"/>
      <c s="754"/>
      <c s="1260"/>
      <c s="1737"/>
      <c s="1472" t="s">
        <v>65</v>
      </c>
      <c s="1737"/>
      <c s="1472" t="s">
        <v>65</v>
      </c>
      <c s="1351"/>
      <c s="2256" t="s">
        <v>501</v>
      </c>
      <c r="BE52" s="503"/>
      <c s="503" t="str">
        <f>IF(T52="","",T52)</f>
        <v/>
      </c>
      <c s="503"/>
      <c s="503"/>
      <c s="1158">
        <v>11</v>
      </c>
    </row>
    <row r="53" spans="1:61" ht="11.55" customHeight="1">
      <c r="A53" s="1366"/>
      <c s="1366"/>
      <c s="1366"/>
      <c s="1366"/>
      <c s="2262"/>
      <c s="2262"/>
      <c s="2262"/>
      <c s="2262"/>
      <c s="2289"/>
      <c s="2289"/>
      <c s="2259"/>
      <c s="1367"/>
      <c r="P53" s="2260"/>
      <c s="2260"/>
      <c s="360"/>
      <c s="2345"/>
      <c s="2364"/>
      <c s="303"/>
      <c s="1396"/>
      <c s="1499"/>
      <c s="1396"/>
      <c s="1499"/>
      <c s="1396"/>
      <c s="1396"/>
      <c s="1396"/>
      <c s="1396"/>
      <c s="2189"/>
      <c s="2329"/>
      <c s="2208"/>
      <c s="2366"/>
      <c s="2110"/>
      <c s="2329"/>
      <c s="2208"/>
      <c s="2330"/>
      <c s="2110"/>
      <c s="2203"/>
      <c s="2208"/>
      <c s="2360"/>
      <c s="2362"/>
      <c s="319"/>
      <c s="419"/>
      <c s="419" t="s">
        <v>502</v>
      </c>
      <c s="1396"/>
      <c s="1499"/>
      <c s="1396"/>
      <c s="1499"/>
      <c s="1396"/>
      <c s="1396"/>
      <c s="1396"/>
      <c s="1396"/>
      <c s="1400"/>
      <c s="2257"/>
      <c r="BE53" s="503"/>
      <c s="503"/>
      <c s="503"/>
      <c s="503"/>
      <c s="1158">
        <v>11</v>
      </c>
    </row>
    <row r="54" spans="1:61" ht="11.55" customHeight="1">
      <c r="A54" s="1366" t="s">
        <v>261</v>
      </c>
      <c s="1366"/>
      <c s="1366"/>
      <c s="1366"/>
      <c s="2262"/>
      <c s="2262"/>
      <c s="2262"/>
      <c s="2262"/>
      <c s="2289"/>
      <c s="2289"/>
      <c s="2259"/>
      <c s="1367"/>
      <c r="P54" s="2260"/>
      <c s="2260"/>
      <c s="360"/>
      <c s="2345"/>
      <c s="2364"/>
      <c s="303"/>
      <c s="1396"/>
      <c s="1499"/>
      <c s="1396"/>
      <c s="1499"/>
      <c s="1396"/>
      <c s="1396"/>
      <c s="1396"/>
      <c s="1396"/>
      <c s="2189"/>
      <c s="2329"/>
      <c s="2208"/>
      <c s="2366"/>
      <c s="2110"/>
      <c s="2329"/>
      <c s="2208"/>
      <c s="2330"/>
      <c s="2110"/>
      <c s="319"/>
      <c s="1503"/>
      <c s="1503" t="s">
        <v>503</v>
      </c>
      <c s="419"/>
      <c s="419"/>
      <c s="419"/>
      <c s="1396"/>
      <c s="1396"/>
      <c s="1499"/>
      <c s="1396"/>
      <c s="1499"/>
      <c s="1396"/>
      <c s="1396"/>
      <c s="1396"/>
      <c s="1396"/>
      <c s="1400"/>
      <c s="2257"/>
      <c r="BE54" s="503"/>
      <c s="503"/>
      <c s="503"/>
      <c s="503"/>
      <c s="1158">
        <v>11</v>
      </c>
    </row>
    <row r="55" spans="1:61" ht="11.55" customHeight="1">
      <c r="A55" s="1366" t="s">
        <v>261</v>
      </c>
      <c s="1366"/>
      <c s="1366"/>
      <c s="1366"/>
      <c s="2262"/>
      <c s="2262"/>
      <c s="2262"/>
      <c s="2262"/>
      <c s="2289"/>
      <c s="2289"/>
      <c s="2259"/>
      <c s="1367"/>
      <c r="P55" s="2260"/>
      <c s="2260"/>
      <c s="360"/>
      <c s="2345"/>
      <c s="2364"/>
      <c s="303"/>
      <c s="1396"/>
      <c s="1499"/>
      <c s="1396"/>
      <c s="1499"/>
      <c s="1396"/>
      <c s="1396"/>
      <c s="1396"/>
      <c s="1396"/>
      <c s="2189"/>
      <c s="2329"/>
      <c s="2208"/>
      <c s="2366"/>
      <c s="2110"/>
      <c s="297"/>
      <c s="418"/>
      <c s="316" t="s">
        <v>504</v>
      </c>
      <c s="1396"/>
      <c s="1396"/>
      <c s="1396"/>
      <c s="1396"/>
      <c s="1396"/>
      <c s="1396"/>
      <c s="1396"/>
      <c s="1396"/>
      <c s="1396"/>
      <c s="1499"/>
      <c s="1396"/>
      <c s="1499"/>
      <c s="1396"/>
      <c s="1396"/>
      <c s="1396"/>
      <c s="1396"/>
      <c s="1400"/>
      <c s="2257"/>
      <c r="BE55" s="503"/>
      <c s="503"/>
      <c s="503"/>
      <c s="503"/>
      <c s="1158">
        <v>11</v>
      </c>
    </row>
    <row r="56" spans="1:61" ht="11.55" customHeight="1">
      <c r="A56" s="1366" t="s">
        <v>261</v>
      </c>
      <c s="1366" t="s">
        <v>262</v>
      </c>
      <c s="1366" t="s">
        <v>263</v>
      </c>
      <c s="1366" t="s">
        <v>544</v>
      </c>
      <c s="2262"/>
      <c s="2262"/>
      <c s="2262"/>
      <c s="2262"/>
      <c s="2289"/>
      <c s="2289"/>
      <c s="2259"/>
      <c s="1367"/>
      <c r="P56" s="2260"/>
      <c s="2260"/>
      <c s="360"/>
      <c s="2346"/>
      <c s="2365"/>
      <c s="303"/>
      <c s="1396"/>
      <c s="1397" t="str">
        <f>Z52&amp;"-"&amp;AB52</f>
        <v>-</v>
      </c>
      <c s="1396"/>
      <c s="1397" t="str">
        <f>AB52&amp;"-"&amp;AD52</f>
        <v>-да</v>
      </c>
      <c s="1396"/>
      <c s="1396"/>
      <c s="1396"/>
      <c s="1396"/>
      <c s="2115"/>
      <c s="315"/>
      <c s="317"/>
      <c s="419" t="s">
        <v>505</v>
      </c>
      <c s="1396"/>
      <c s="1396"/>
      <c s="1396"/>
      <c s="1396"/>
      <c s="1396"/>
      <c s="1396"/>
      <c s="1396"/>
      <c s="1396"/>
      <c s="1396"/>
      <c s="1396"/>
      <c s="1396"/>
      <c s="1396"/>
      <c s="1396"/>
      <c s="1397" t="str">
        <f>AX52&amp;"-"&amp;AZ52</f>
        <v>-</v>
      </c>
      <c s="1396"/>
      <c s="1397" t="str">
        <f>AZ52&amp;"-"&amp;BB52</f>
        <v>-</v>
      </c>
      <c s="1396"/>
      <c s="1396"/>
      <c s="1396"/>
      <c s="1396"/>
      <c s="1399" t="str">
        <f>BE52&amp;"-"&amp;BG52</f>
        <v>-</v>
      </c>
      <c s="2257"/>
      <c r="BE56" s="503"/>
      <c s="503" t="str">
        <f>IF(T56="","",T56)</f>
        <v/>
      </c>
      <c s="503"/>
      <c s="503"/>
      <c s="1158">
        <v>11</v>
      </c>
    </row>
    <row r="57" spans="1:61" ht="11.55" customHeight="1">
      <c r="A57" s="1366" t="s">
        <v>261</v>
      </c>
      <c s="1366" t="s">
        <v>262</v>
      </c>
      <c s="1366" t="s">
        <v>263</v>
      </c>
      <c s="1366" t="s">
        <v>544</v>
      </c>
      <c s="2262"/>
      <c s="2262"/>
      <c s="2262"/>
      <c s="2262"/>
      <c s="2289"/>
      <c s="2259"/>
      <c s="1366"/>
      <c s="1367"/>
      <c r="P57" s="2260"/>
      <c s="2260"/>
      <c s="359"/>
      <c s="1281"/>
      <c s="290" t="s">
        <v>468</v>
      </c>
      <c s="370"/>
      <c s="370"/>
      <c s="370"/>
      <c s="370"/>
      <c s="370"/>
      <c s="370"/>
      <c s="370"/>
      <c s="370"/>
      <c s="327"/>
      <c s="1508"/>
      <c s="370"/>
      <c s="370"/>
      <c s="370"/>
      <c s="370"/>
      <c s="370"/>
      <c s="370"/>
      <c s="370"/>
      <c s="370"/>
      <c s="370"/>
      <c s="370"/>
      <c s="370"/>
      <c s="370"/>
      <c s="370"/>
      <c s="370"/>
      <c s="370"/>
      <c s="370"/>
      <c s="370"/>
      <c s="370"/>
      <c s="370"/>
      <c s="370"/>
      <c s="370"/>
      <c s="370"/>
      <c s="370"/>
      <c s="327"/>
      <c s="2258"/>
      <c r="BE57" s="503"/>
      <c s="503" t="str">
        <f>IF(T57="","",T57)</f>
        <v>Добавить строку</v>
      </c>
      <c s="503"/>
      <c s="503"/>
      <c s="1158">
        <v>11</v>
      </c>
    </row>
    <row r="58" spans="1:61" s="1645" customFormat="1" ht="0" customHeight="1">
      <c r="A58" s="1346" t="s">
        <v>261</v>
      </c>
      <c s="1346" t="s">
        <v>262</v>
      </c>
      <c s="1346" t="s">
        <v>263</v>
      </c>
      <c s="1346" t="s">
        <v>544</v>
      </c>
      <c s="2262"/>
      <c s="2262"/>
      <c s="2262"/>
      <c s="2262"/>
      <c s="2259"/>
      <c s="1346"/>
      <c s="1346"/>
      <c s="1349"/>
      <c s="513"/>
      <c s="513"/>
      <c s="513"/>
      <c s="2260"/>
      <c s="1484"/>
      <c s="359"/>
      <c s="1389"/>
      <c s="1390"/>
      <c s="1391"/>
      <c s="1391"/>
      <c s="1391"/>
      <c s="1391"/>
      <c s="1391"/>
      <c s="1391"/>
      <c s="1391"/>
      <c s="1391"/>
      <c s="1391"/>
      <c s="1391"/>
      <c s="1391"/>
      <c s="1391"/>
      <c s="1391"/>
      <c s="1391"/>
      <c s="1391"/>
      <c s="1391"/>
      <c s="1391"/>
      <c s="1391"/>
      <c s="1391"/>
      <c s="1391"/>
      <c s="1391"/>
      <c s="1391"/>
      <c s="1391"/>
      <c s="1391"/>
      <c s="1391"/>
      <c s="1391"/>
      <c s="1391"/>
      <c s="1391"/>
      <c s="1391"/>
      <c s="1391"/>
      <c s="1391"/>
      <c s="1391"/>
      <c s="1391"/>
      <c s="1391"/>
      <c s="1392"/>
      <c r="BE58" s="503"/>
      <c s="503" t="str">
        <f>IF(T58="","",T58)</f>
        <v/>
      </c>
      <c s="503"/>
      <c s="503"/>
      <c s="514">
        <v>0</v>
      </c>
    </row>
    <row r="59" spans="1:61" s="1645" customFormat="1" ht="0" customHeight="1">
      <c r="A59" s="1346" t="s">
        <v>261</v>
      </c>
      <c s="1346" t="s">
        <v>262</v>
      </c>
      <c s="1346" t="s">
        <v>263</v>
      </c>
      <c s="1346" t="s">
        <v>544</v>
      </c>
      <c s="2262"/>
      <c s="2262"/>
      <c s="2262"/>
      <c s="2261"/>
      <c s="1346"/>
      <c s="1346"/>
      <c s="1346"/>
      <c s="1349"/>
      <c s="1318"/>
      <c s="1318"/>
      <c s="521"/>
      <c s="383"/>
      <c s="1347"/>
      <c s="1404"/>
      <c s="1389"/>
      <c s="1390"/>
      <c s="1391"/>
      <c s="1391"/>
      <c s="1391"/>
      <c s="1391"/>
      <c s="1391"/>
      <c s="1391"/>
      <c s="1391"/>
      <c s="1391"/>
      <c s="1391"/>
      <c s="1391"/>
      <c s="1391"/>
      <c s="1391"/>
      <c s="1391"/>
      <c s="1391"/>
      <c s="1391"/>
      <c s="1391"/>
      <c s="1391"/>
      <c s="1391"/>
      <c s="1391"/>
      <c s="1391"/>
      <c s="1391"/>
      <c s="1391"/>
      <c s="1391"/>
      <c s="1391"/>
      <c s="1391"/>
      <c s="1391"/>
      <c s="1391"/>
      <c s="1391"/>
      <c s="1391"/>
      <c s="1391"/>
      <c s="1391"/>
      <c s="1391"/>
      <c s="1391"/>
      <c s="1391"/>
      <c s="1392"/>
      <c r="BE59" s="503"/>
      <c s="503" t="str">
        <f>IF(T59="","",T59)</f>
        <v/>
      </c>
      <c s="503"/>
      <c s="503"/>
      <c s="514">
        <v>0</v>
      </c>
    </row>
    <row r="60" spans="1:61" s="1645" customFormat="1" ht="0" customHeight="1">
      <c r="A60" s="1346" t="s">
        <v>261</v>
      </c>
      <c s="1346" t="s">
        <v>262</v>
      </c>
      <c s="1346" t="s">
        <v>263</v>
      </c>
      <c s="1317"/>
      <c s="2262"/>
      <c s="2262"/>
      <c s="2261"/>
      <c s="1317"/>
      <c s="1317"/>
      <c s="1317"/>
      <c s="1317"/>
      <c s="1497"/>
      <c s="1318"/>
      <c s="1318"/>
      <c r="P60" s="1319"/>
      <c s="1320"/>
      <c s="1319"/>
      <c s="1325"/>
      <c s="1328"/>
      <c s="1327"/>
      <c s="1327"/>
      <c s="1327"/>
      <c s="1327"/>
      <c s="1327"/>
      <c s="1327"/>
      <c s="1327"/>
      <c s="1327"/>
      <c s="1327"/>
      <c s="1327"/>
      <c s="1327"/>
      <c s="1327"/>
      <c s="1327"/>
      <c s="1327"/>
      <c s="1327"/>
      <c s="1327"/>
      <c s="1327"/>
      <c s="1327"/>
      <c s="1327"/>
      <c s="1327"/>
      <c s="1327"/>
      <c s="1327"/>
      <c s="1327"/>
      <c s="1327"/>
      <c s="1327"/>
      <c s="1327"/>
      <c s="1327"/>
      <c s="1327"/>
      <c s="1327"/>
      <c s="1327"/>
      <c s="1327"/>
      <c s="1327"/>
      <c s="1327"/>
      <c s="1327"/>
      <c s="1327"/>
      <c r="BE60" s="792"/>
      <c s="792" t="str">
        <f>IF(T60="","",T60)</f>
        <v/>
      </c>
      <c s="792"/>
      <c s="792"/>
      <c s="521">
        <v>0</v>
      </c>
    </row>
    <row r="61" spans="1:61" s="1645" customFormat="1" ht="0" customHeight="1">
      <c r="A61" s="1346" t="s">
        <v>261</v>
      </c>
      <c s="1346" t="s">
        <v>262</v>
      </c>
      <c s="1317"/>
      <c s="1317"/>
      <c s="2262"/>
      <c s="2261"/>
      <c s="1317"/>
      <c s="1317"/>
      <c s="1317"/>
      <c s="1317"/>
      <c s="1317"/>
      <c s="1497"/>
      <c s="1324"/>
      <c s="1324"/>
      <c r="P61" s="1319"/>
      <c s="1320"/>
      <c s="1319"/>
      <c s="1325"/>
      <c s="1328" t="s">
        <v>415</v>
      </c>
      <c s="1327"/>
      <c s="1327"/>
      <c s="1327"/>
      <c s="1327"/>
      <c s="1327"/>
      <c s="1327"/>
      <c s="1327"/>
      <c s="1327"/>
      <c s="1327"/>
      <c s="1327"/>
      <c s="1327"/>
      <c s="1327"/>
      <c s="1327"/>
      <c s="1327"/>
      <c s="1327"/>
      <c s="1327"/>
      <c s="1327"/>
      <c s="1327"/>
      <c s="1327"/>
      <c s="1327"/>
      <c s="1327"/>
      <c s="1327"/>
      <c s="1327"/>
      <c s="1327"/>
      <c s="1327"/>
      <c s="1327"/>
      <c s="1327"/>
      <c s="1327"/>
      <c s="1327"/>
      <c s="1327"/>
      <c s="1327"/>
      <c s="1327"/>
      <c s="1327"/>
      <c s="1327"/>
      <c s="1327"/>
      <c r="BE61" s="792"/>
      <c s="792" t="str">
        <f>IF(T61="","",T61)</f>
        <v>Добавить централизованную систему для дифференциации</v>
      </c>
      <c s="792"/>
      <c s="792"/>
      <c s="521">
        <v>0</v>
      </c>
    </row>
    <row r="62" spans="1:61" s="1645" customFormat="1" ht="0" customHeight="1">
      <c r="A62" s="1346" t="s">
        <v>261</v>
      </c>
      <c s="1346"/>
      <c s="1346"/>
      <c s="1346"/>
      <c s="2261"/>
      <c s="1346"/>
      <c s="1346"/>
      <c s="1346"/>
      <c s="1346"/>
      <c s="1346"/>
      <c s="1346"/>
      <c s="1349"/>
      <c s="1324"/>
      <c s="1324"/>
      <c s="521"/>
      <c s="383"/>
      <c s="1347"/>
      <c s="383"/>
      <c s="1325"/>
      <c s="1328" t="s">
        <v>416</v>
      </c>
      <c s="1327"/>
      <c s="1327"/>
      <c s="1327"/>
      <c s="1327"/>
      <c s="1327"/>
      <c s="1327"/>
      <c s="1327"/>
      <c s="1327"/>
      <c s="1327"/>
      <c s="1327"/>
      <c s="1327"/>
      <c s="1327"/>
      <c s="1327"/>
      <c s="1327"/>
      <c s="1327"/>
      <c s="1327"/>
      <c s="1327"/>
      <c s="1327"/>
      <c s="1327"/>
      <c s="1327"/>
      <c s="1327"/>
      <c s="1327"/>
      <c s="1327"/>
      <c s="1327"/>
      <c s="1327"/>
      <c s="1327"/>
      <c s="1327"/>
      <c s="1327"/>
      <c s="1327"/>
      <c s="1327"/>
      <c s="1327"/>
      <c s="1327"/>
      <c s="1327"/>
      <c s="1327"/>
      <c s="1327"/>
      <c r="BE62" s="503"/>
      <c s="503" t="str">
        <f>IF(T62="","",T62)</f>
        <v>Добавить территорию для дифференциации</v>
      </c>
      <c s="503"/>
      <c s="503"/>
      <c s="514">
        <v>0</v>
      </c>
    </row>
    <row r="63" spans="1:61" s="1645" customFormat="1" ht="0" customHeight="1">
      <c r="A63" s="1317"/>
      <c s="1317"/>
      <c s="1317"/>
      <c s="1317"/>
      <c s="1346"/>
      <c s="1317"/>
      <c s="1317"/>
      <c s="1317"/>
      <c s="1317"/>
      <c s="1317"/>
      <c s="1317"/>
      <c s="1497"/>
      <c s="1324"/>
      <c s="1324"/>
      <c r="P63" s="1319"/>
      <c s="1320"/>
      <c s="1319"/>
      <c s="1325"/>
      <c s="1328" t="s">
        <v>448</v>
      </c>
      <c s="1327"/>
      <c s="1327"/>
      <c s="1327"/>
      <c s="1327"/>
      <c s="1327"/>
      <c s="1327"/>
      <c s="1327"/>
      <c s="1327"/>
      <c s="1327"/>
      <c s="1327"/>
      <c s="1327"/>
      <c s="1327"/>
      <c s="1327"/>
      <c s="1327"/>
      <c s="1327"/>
      <c s="1327"/>
      <c s="1327"/>
      <c s="1327"/>
      <c s="1327"/>
      <c s="1327"/>
      <c s="1327"/>
      <c s="1327"/>
      <c s="1327"/>
      <c s="1327"/>
      <c s="1327"/>
      <c s="1327"/>
      <c s="1327"/>
      <c s="1327"/>
      <c s="1327"/>
      <c s="1327"/>
      <c s="1327"/>
      <c s="1327"/>
      <c s="1327"/>
      <c s="1327"/>
      <c s="1327"/>
      <c r="BE63" s="792"/>
      <c s="792" t="str">
        <f>IF(T63="","",T63)</f>
        <v>Добавить наименование тарифа</v>
      </c>
      <c s="792"/>
      <c s="792"/>
      <c s="521">
        <v>0</v>
      </c>
    </row>
    <row r="64" spans="13:19 56:61" ht="11.55" customHeight="1">
      <c r="M64" s="1163"/>
      <c s="1163"/>
      <c s="540"/>
      <c s="1163"/>
      <c s="1163"/>
      <c s="1158"/>
      <c s="1158"/>
      <c r="BD64" s="1158"/>
      <c s="1158"/>
      <c s="1158"/>
      <c s="1158"/>
      <c s="1158"/>
      <c s="1158">
        <v>11</v>
      </c>
    </row>
    <row r="65" spans="15:61" ht="19.95" customHeight="1">
      <c r="O65" s="540"/>
      <c r="S65" s="1256"/>
      <c s="2288"/>
      <c s="2288"/>
      <c s="2288"/>
      <c s="2288"/>
      <c s="2288"/>
      <c s="2288"/>
      <c s="2288"/>
      <c s="2288"/>
      <c s="2288"/>
      <c s="2288"/>
      <c s="2288"/>
      <c s="2288"/>
      <c s="2288"/>
      <c s="2288"/>
      <c s="2288"/>
      <c s="2288"/>
      <c s="2288"/>
      <c s="2288"/>
      <c s="2288"/>
      <c s="2288"/>
      <c s="2288"/>
      <c s="2288"/>
      <c s="2288"/>
      <c s="2288"/>
      <c s="2288"/>
      <c s="2288"/>
      <c s="2288"/>
      <c s="2288"/>
      <c s="2288"/>
      <c s="2288"/>
      <c s="2288"/>
      <c s="2288"/>
      <c s="2288"/>
      <c s="2288"/>
      <c s="2288"/>
      <c s="2288"/>
      <c r="BI65" s="1158">
        <v>19</v>
      </c>
    </row>
    <row r="66" spans="15:61" ht="14.7" customHeight="1">
      <c r="O66" s="540"/>
      <c r="T66" s="1483"/>
      <c s="1483"/>
      <c s="1483"/>
      <c s="1483"/>
      <c s="1483"/>
      <c s="1483"/>
      <c s="1483"/>
      <c s="1483"/>
      <c s="1483"/>
      <c s="1483"/>
      <c s="1483"/>
      <c s="1483"/>
      <c s="1483"/>
      <c s="1483"/>
      <c s="1483"/>
      <c s="1483"/>
      <c s="1483"/>
      <c s="1483"/>
      <c s="1483"/>
      <c s="1483"/>
      <c s="1483"/>
      <c s="1483"/>
      <c s="1483"/>
      <c s="1483"/>
      <c s="1483"/>
      <c s="1483"/>
      <c s="1483"/>
      <c s="1483"/>
      <c s="1483"/>
      <c s="1483"/>
      <c s="1483"/>
      <c s="1483"/>
      <c s="1483"/>
      <c s="1483"/>
      <c s="1483"/>
      <c s="1483"/>
      <c r="BI66" s="1158">
        <v>14</v>
      </c>
    </row>
    <row r="67" spans="15:61" ht="19.95" customHeight="1">
      <c r="O67" s="540"/>
      <c r="S67" s="1256"/>
      <c s="2288"/>
      <c s="2288"/>
      <c s="2288"/>
      <c s="2288"/>
      <c s="2288"/>
      <c s="2288"/>
      <c s="2288"/>
      <c s="2288"/>
      <c s="2288"/>
      <c s="2288"/>
      <c s="2288"/>
      <c s="2288"/>
      <c s="2288"/>
      <c s="2288"/>
      <c s="2288"/>
      <c s="2288"/>
      <c s="2288"/>
      <c s="2288"/>
      <c s="2288"/>
      <c s="2288"/>
      <c s="2288"/>
      <c s="2288"/>
      <c s="2288"/>
      <c s="2288"/>
      <c s="2288"/>
      <c s="2288"/>
      <c s="2288"/>
      <c s="2288"/>
      <c s="2288"/>
      <c s="2288"/>
      <c s="2288"/>
      <c s="2288"/>
      <c s="2288"/>
      <c s="2288"/>
      <c s="2288"/>
      <c s="2288"/>
      <c r="BI67" s="1158">
        <v>19</v>
      </c>
    </row>
    <row r="68" spans="15:15 61:61" ht="14.7" customHeight="1">
      <c r="O68" s="540"/>
      <c r="BI68" s="1158">
        <v>14</v>
      </c>
    </row>
    <row r="69" spans="1:61" ht="14.25" customHeight="1" hidden="1">
      <c r="A69" s="1163" t="s">
        <v>81</v>
      </c>
      <c s="1163">
        <v>0</v>
      </c>
      <c s="1163">
        <v>0</v>
      </c>
      <c s="1163">
        <v>0</v>
      </c>
      <c s="1163">
        <v>0</v>
      </c>
      <c s="1163">
        <v>0</v>
      </c>
      <c s="1163">
        <v>0</v>
      </c>
      <c s="1163">
        <v>0</v>
      </c>
      <c s="1163">
        <v>0</v>
      </c>
      <c s="1163">
        <v>0</v>
      </c>
      <c s="1163">
        <v>0</v>
      </c>
      <c s="1481">
        <v>0</v>
      </c>
      <c s="1365">
        <v>0</v>
      </c>
      <c s="1365">
        <v>0</v>
      </c>
      <c s="1365">
        <v>0</v>
      </c>
      <c s="1365">
        <v>0</v>
      </c>
      <c s="1374">
        <v>0</v>
      </c>
      <c s="347">
        <v>3</v>
      </c>
      <c s="584">
        <v>12</v>
      </c>
      <c s="1158">
        <v>31</v>
      </c>
      <c s="1158">
        <v>0</v>
      </c>
      <c s="1158">
        <v>0</v>
      </c>
      <c s="1158">
        <v>0</v>
      </c>
      <c s="1158">
        <v>0</v>
      </c>
      <c s="1158">
        <v>0</v>
      </c>
      <c s="1158">
        <v>0</v>
      </c>
      <c s="1158">
        <v>0</v>
      </c>
      <c s="1158">
        <v>0</v>
      </c>
      <c s="1158">
        <v>0</v>
      </c>
      <c s="1158">
        <v>3</v>
      </c>
      <c s="1158">
        <v>3</v>
      </c>
      <c s="1158">
        <v>3</v>
      </c>
      <c s="1158">
        <v>24</v>
      </c>
      <c s="1158">
        <v>3</v>
      </c>
      <c s="1158">
        <v>3</v>
      </c>
      <c s="1158">
        <v>3</v>
      </c>
      <c s="1158">
        <v>24</v>
      </c>
      <c s="1158">
        <v>3</v>
      </c>
      <c s="1158">
        <v>3</v>
      </c>
      <c s="1158">
        <v>3</v>
      </c>
      <c s="1158">
        <v>18</v>
      </c>
      <c s="1158">
        <v>3</v>
      </c>
      <c s="1158">
        <v>3</v>
      </c>
      <c s="1158">
        <v>3</v>
      </c>
      <c s="1158">
        <v>18</v>
      </c>
      <c s="1158">
        <v>21</v>
      </c>
      <c s="1158">
        <v>21</v>
      </c>
      <c s="1158">
        <v>21</v>
      </c>
      <c s="1158">
        <v>21</v>
      </c>
      <c s="1158">
        <v>11</v>
      </c>
      <c s="1158">
        <v>3</v>
      </c>
      <c s="1158">
        <v>11</v>
      </c>
      <c s="1158">
        <v>0</v>
      </c>
      <c s="1158">
        <v>4</v>
      </c>
      <c s="1158">
        <v>115</v>
      </c>
      <c s="514">
        <v>10</v>
      </c>
      <c s="514">
        <v>10</v>
      </c>
      <c s="514">
        <v>10</v>
      </c>
      <c s="514">
        <v>10</v>
      </c>
      <c s="514">
        <v>10</v>
      </c>
      <c s="1158">
        <v>23</v>
      </c>
    </row>
  </sheetData>
  <sheetProtection formatColumns="0" formatRows="0" insertRows="0" deleteColumns="0" deleteRows="0" sort="0" autoFilter="0"/>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65587:AS65587 AD917555:AS917555 AD983091:AS983091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8 Z65589 Z131125 Z196661 Z262197 Z327733 Z393269 Z458805 Z524341 Z589877 Z655413 Z720949 Z786485 Z852021 Z917557 Z983093 AB65589 AB131125 AB196661 AB262197 AB327733 AB393269 AB458805 AB524341 AB589877 AB655413 AB720949 AB786485 AB852021 AB917557 AB983093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2 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AW12 W56"/>
    <dataValidation type="textLength" operator="lessThanOrEqual" allowBlank="1" showInputMessage="1" showErrorMessage="1" errorTitle="Ошибка" error="Допускается ввод не более 900 символов!" sqref="T8:T12 BC65583:BC65590 BC131119:BC131126 BC196655:BC196662 BC262191:BC262198 BC327727:BC327734 BC393263:BC393270 BC458799:BC458806 BC524335:BC524342 BC589871:BC589878 BC655407:BC655414 BC720943:BC720950 BC786479:BC786486 BC852015:BC852022 BC917551:BC917558 BC983087:BC983094 AS8 AS52 T52:T56">
      <formula1>900</formula1>
    </dataValidation>
    <dataValidation allowBlank="1" showInputMessage="1" showErrorMessage="1" prompt="Для выбора выполните двойной щелчок левой клавиши мыши по соответствующей ячейке." sqref="AA8 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G8:AG11 AO52:AO53 AO8:AO9 AG52:AG55">
      <formula1>-0999999999999999000000000</formula1>
      <formula2>9.99999999999999E+23</formula2>
    </dataValidation>
    <dataValidation type="list" allowBlank="1" showInputMessage="1" prompt="Выберите значение из списка" errorTitle="Ошибка" error="Выберите значение из списка" sqref="V65588:BB65588 V983092:BB983092 V917556:BB917556 V852020:BB852020 V786484:BB786484 V720948:BB720948 V655412:BB655412 V589876:BB589876 V524340:BB524340 V458804:BB458804 V393268:BB393268 V327732:BB327732 V262196:BB262196 V196660:BB196660 V131124:BB131124">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 right="0.7" top="0.75" bottom="0.75" header="0.3" footer="0.3"/>
  <pageSetup orientation="portrait"/>
</worksheet>
</file>

<file path=xl/worksheets/sheet3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m="http://schemas.microsoft.com/office/excel/2006/main" xmlns:x14ac="http://schemas.microsoft.com/office/spreadsheetml/2009/9/ac" xmlns:xr="http://schemas.microsoft.com/office/spreadsheetml/2014/revision" xmlns:xr2="http://schemas.microsoft.com/office/spreadsheetml/2015/revision2" xmlns:xr3="http://schemas.microsoft.com/office/spreadsheetml/2016/revision3" xr:uid="{48256888-4664-38B9-91D2-DE232F597583}" mc:Ignorable="x14ac xr xr2 xr3">
  <sheetPr>
    <tabColor theme="9" tint="-0.249980002641678"/>
  </sheetPr>
  <dimension ref="A1:AF303"/>
  <sheetViews>
    <sheetView showGridLines="0" zoomScale="90" zoomScaleNormal="90" workbookViewId="0" topLeftCell="A1">
      <pane xSplit="8" ySplit="29" topLeftCell="I30" activePane="bottomRight" state="frozen"/>
      <selection pane="topLeft" activeCell="A1" sqref="A1"/>
      <selection pane="bottomLeft" activeCell="A30" sqref="A30"/>
      <selection pane="topRight" activeCell="I1" sqref="I1"/>
      <selection pane="bottomRight" activeCell="A1" sqref="A1"/>
    </sheetView>
  </sheetViews>
  <sheetFormatPr defaultColWidth="9.14428571428571" defaultRowHeight="11.25" customHeight="1"/>
  <cols>
    <col min="1" max="1" width="10.7142857142857" style="990" hidden="1" customWidth="1"/>
    <col min="2" max="2" width="16.8571428571429" style="1369" hidden="1" customWidth="1"/>
    <col min="3" max="3" width="5.57142857142857" style="1645" hidden="1" customWidth="1"/>
    <col min="4" max="4" width="3" style="1638" customWidth="1"/>
    <col min="5" max="5" width="7" style="1638" customWidth="1"/>
    <col min="6" max="6" width="54" style="1638" customWidth="1"/>
    <col min="7" max="7" width="10" style="1638" customWidth="1"/>
    <col min="8" max="8" width="40.7142857142857" style="1638" hidden="1" customWidth="1"/>
    <col min="9" max="9" width="40.7142857142857" style="1638" customWidth="1"/>
    <col min="10" max="10" width="102" style="1638" customWidth="1"/>
    <col min="11" max="11" width="9" style="1369" customWidth="1"/>
    <col min="12" max="12" width="5" style="1645" customWidth="1"/>
    <col min="13" max="13" width="3" style="1645" customWidth="1"/>
    <col min="14" max="17" width="3" style="1369" customWidth="1"/>
    <col min="18" max="18" width="10" style="1645" customWidth="1"/>
    <col min="19" max="19" width="34" style="1369" customWidth="1"/>
    <col min="20" max="20" width="9" style="1369" customWidth="1"/>
    <col min="21" max="21" width="8" style="739" customWidth="1"/>
    <col min="22" max="26" width="8" style="1369" customWidth="1"/>
    <col min="27" max="31" width="8" style="1635" customWidth="1"/>
    <col min="32" max="32" width="9.14285714285714" style="1638" hidden="1"/>
  </cols>
  <sheetData>
    <row r="1" spans="32:32" ht="22.5" customHeight="1" hidden="1">
      <c r="AF1" s="1634" t="s">
        <v>14</v>
      </c>
    </row>
    <row r="2" spans="2:32" ht="23.25" customHeight="1" hidden="1">
      <c r="B2" s="2102"/>
      <c s="1170" t="s">
        <v>545</v>
      </c>
      <c s="1641"/>
      <c s="549">
        <f>B2</f>
        <v>0</v>
      </c>
      <c s="550"/>
      <c s="1649" t="s">
        <v>546</v>
      </c>
      <c s="1649" t="s">
        <v>546</v>
      </c>
      <c s="1649" t="s">
        <v>546</v>
      </c>
      <c s="292" t="s">
        <v>547</v>
      </c>
      <c s="546"/>
      <c r="AF2" s="1634">
        <v>0</v>
      </c>
    </row>
    <row r="3" spans="2:32" s="1645" customFormat="1" ht="0.75" customHeight="1" hidden="1">
      <c r="B3" s="2102"/>
      <c s="1170"/>
      <c s="551"/>
      <c s="552"/>
      <c s="553" t="s">
        <v>548</v>
      </c>
      <c s="554"/>
      <c s="554">
        <f>H4*H5+H7</f>
        <v>0</v>
      </c>
      <c s="554">
        <f>I4*I5+I6</f>
        <v>0</v>
      </c>
      <c s="555"/>
      <c r="AF3" s="1639">
        <v>0</v>
      </c>
    </row>
    <row r="4" spans="2:32" ht="23.25" customHeight="1" hidden="1">
      <c r="B4" s="2102"/>
      <c s="1170"/>
      <c s="1641"/>
      <c s="549" t="str">
        <f>B2&amp;".1"</f>
        <v>.1</v>
      </c>
      <c s="556" t="s">
        <v>549</v>
      </c>
      <c s="557"/>
      <c s="544"/>
      <c s="544"/>
      <c s="292" t="s">
        <v>550</v>
      </c>
      <c s="546"/>
      <c r="AF4" s="1634">
        <v>0</v>
      </c>
    </row>
    <row r="5" spans="2:32" ht="18.75" customHeight="1" hidden="1">
      <c r="B5" s="2102"/>
      <c s="1170"/>
      <c s="1641"/>
      <c s="549" t="str">
        <f>B2&amp;".2"</f>
        <v>.2</v>
      </c>
      <c s="556" t="s">
        <v>551</v>
      </c>
      <c s="1649" t="s">
        <v>552</v>
      </c>
      <c s="544"/>
      <c s="544"/>
      <c s="292"/>
      <c s="546"/>
      <c r="AF5" s="1634">
        <v>0</v>
      </c>
    </row>
    <row r="6" spans="2:32" ht="18.75" customHeight="1" hidden="1">
      <c r="B6" s="2102"/>
      <c s="1170"/>
      <c s="1641"/>
      <c s="549" t="str">
        <f>B2&amp;".3"</f>
        <v>.3</v>
      </c>
      <c s="556" t="s">
        <v>553</v>
      </c>
      <c s="1649" t="s">
        <v>552</v>
      </c>
      <c s="544"/>
      <c s="544"/>
      <c s="292"/>
      <c s="546"/>
      <c r="AF6" s="1634">
        <v>0</v>
      </c>
    </row>
    <row r="7" spans="2:32" ht="18.75" customHeight="1" hidden="1">
      <c r="B7" s="2102"/>
      <c s="1170"/>
      <c s="1641"/>
      <c s="549" t="str">
        <f>B2&amp;".4"</f>
        <v>.4</v>
      </c>
      <c s="556" t="s">
        <v>554</v>
      </c>
      <c s="1649" t="s">
        <v>546</v>
      </c>
      <c s="558"/>
      <c s="558"/>
      <c s="292"/>
      <c s="546"/>
      <c r="AF7" s="1634">
        <v>0</v>
      </c>
    </row>
    <row r="8" spans="1:32" s="1369" customFormat="1" ht="11.25" customHeight="1" hidden="1">
      <c r="A8" s="990"/>
      <c r="C8" s="1639"/>
      <c s="540"/>
      <c r="H8" s="1163">
        <v>4</v>
      </c>
      <c s="1163">
        <v>4</v>
      </c>
      <c r="L8" s="1639"/>
      <c s="1639"/>
      <c r="R8" s="1639"/>
      <c r="AF8" s="1163">
        <v>0</v>
      </c>
    </row>
    <row r="9" spans="1:32" s="1369" customFormat="1" ht="22.5" customHeight="1" hidden="1">
      <c r="A9" s="990"/>
      <c r="C9" s="1639"/>
      <c s="541"/>
      <c s="1651"/>
      <c s="543"/>
      <c s="1649" t="s">
        <v>552</v>
      </c>
      <c s="544"/>
      <c s="544"/>
      <c s="545" t="s">
        <v>555</v>
      </c>
      <c s="546"/>
      <c s="1639"/>
      <c s="1639"/>
      <c r="R9" s="1639"/>
      <c r="U9" s="547"/>
      <c r="AA9" s="1635"/>
      <c s="1635"/>
      <c s="1635"/>
      <c s="1635"/>
      <c s="1635"/>
      <c s="1163">
        <v>0</v>
      </c>
    </row>
    <row r="10" spans="32:32" ht="11.25" customHeight="1" hidden="1">
      <c r="AF10" s="1634">
        <v>0</v>
      </c>
    </row>
    <row r="11" spans="4:32" ht="18.75" customHeight="1" hidden="1">
      <c r="D11" s="1641"/>
      <c s="549"/>
      <c s="543"/>
      <c s="1649" t="s">
        <v>556</v>
      </c>
      <c s="544"/>
      <c s="544"/>
      <c s="292" t="s">
        <v>557</v>
      </c>
      <c s="546"/>
      <c r="AF11" s="1634">
        <v>0</v>
      </c>
    </row>
    <row r="12" spans="32:32" ht="11.25" customHeight="1" hidden="1">
      <c r="AF12" s="1634">
        <v>0</v>
      </c>
    </row>
    <row r="13" spans="4:32" ht="22.5" customHeight="1" hidden="1">
      <c r="D13" s="1641"/>
      <c s="549"/>
      <c s="543"/>
      <c s="972" t="s">
        <v>558</v>
      </c>
      <c s="548"/>
      <c s="548"/>
      <c s="748" t="s">
        <v>559</v>
      </c>
      <c s="546"/>
      <c r="AF13" s="1634">
        <v>0</v>
      </c>
    </row>
    <row r="14" spans="32:32" ht="11.25" customHeight="1" hidden="1">
      <c r="AF14" s="1634">
        <v>0</v>
      </c>
    </row>
    <row r="15" spans="4:32" ht="22.5" customHeight="1" hidden="1">
      <c r="D15" s="1641"/>
      <c s="549"/>
      <c s="543"/>
      <c s="1649" t="s">
        <v>560</v>
      </c>
      <c s="548"/>
      <c s="548"/>
      <c s="292" t="s">
        <v>561</v>
      </c>
      <c s="546"/>
      <c r="AF15" s="1634">
        <v>0</v>
      </c>
    </row>
    <row r="16" spans="32:32" ht="11.25" customHeight="1" hidden="1">
      <c r="AF16" s="1634">
        <v>0</v>
      </c>
    </row>
    <row r="17" spans="4:32" ht="22.5" customHeight="1" hidden="1">
      <c r="D17" s="1641"/>
      <c s="549"/>
      <c s="543"/>
      <c s="1649" t="s">
        <v>562</v>
      </c>
      <c s="548"/>
      <c s="548"/>
      <c s="292" t="s">
        <v>563</v>
      </c>
      <c s="546"/>
      <c r="AF17" s="1634">
        <v>0</v>
      </c>
    </row>
    <row r="18" spans="32:32" ht="11.25" customHeight="1" hidden="1">
      <c r="AF18" s="1634">
        <v>0</v>
      </c>
    </row>
    <row r="19" spans="1:32" s="1635" customFormat="1" ht="11.25" customHeight="1" hidden="1">
      <c r="A19" s="990"/>
      <c s="1163"/>
      <c s="1639"/>
      <c s="365"/>
      <c r="J19" s="1635">
        <v>4</v>
      </c>
      <c s="1163"/>
      <c s="1639"/>
      <c s="1639"/>
      <c s="1163"/>
      <c s="1163"/>
      <c s="1163"/>
      <c s="1163"/>
      <c s="1639"/>
      <c s="1163"/>
      <c s="1163"/>
      <c s="547"/>
      <c s="1163"/>
      <c s="1163"/>
      <c s="1163"/>
      <c s="1163"/>
      <c s="1163"/>
      <c r="AF19" s="1635">
        <v>0</v>
      </c>
    </row>
    <row r="20" spans="32:32" ht="11.55" customHeight="1">
      <c r="AF20" s="1634">
        <v>11</v>
      </c>
    </row>
    <row r="21" spans="5:32" ht="25.2" customHeight="1">
      <c r="E21" s="2251" t="str">
        <f>FHD_NAME_FORM</f>
        <v>Форма 4. Информация об основных показателях финансово-хозяйственной деятельности организации водоотведения, включая структуру основных производственных затрат (в части регулируемых видов деятельности в сфере водоотведения)</v>
      </c>
      <c s="2251"/>
      <c s="2251"/>
      <c s="2251"/>
      <c s="2251"/>
      <c s="559"/>
      <c r="AF21" s="1634">
        <v>24</v>
      </c>
    </row>
    <row r="22" spans="5:32" ht="25.2" customHeight="1">
      <c r="E22" s="2252" t="str">
        <f>IF(org=0,"Не определено",org)</f>
        <v>ГУП КК "Кубаньводкомплекс"</v>
      </c>
      <c s="2252"/>
      <c s="2252"/>
      <c s="2252"/>
      <c s="2252"/>
      <c r="AF22" s="1634">
        <v>24</v>
      </c>
    </row>
    <row r="23" spans="5:32" ht="11.55" customHeight="1">
      <c r="E23" s="1138"/>
      <c s="1138"/>
      <c s="1138"/>
      <c s="1138"/>
      <c s="1138"/>
      <c r="AF23" s="1634">
        <v>11</v>
      </c>
    </row>
    <row r="24" spans="1:32" s="1645" customFormat="1" ht="1.05" customHeight="1">
      <c r="A24" s="1170"/>
      <c r="D24" s="1645"/>
      <c r="H24" s="892"/>
      <c s="892" t="s">
        <v>118</v>
      </c>
      <c r="AF24" s="1639">
        <v>1</v>
      </c>
    </row>
    <row r="25" spans="5:32" ht="11.55" customHeight="1">
      <c r="E25" s="714"/>
      <c s="2370" t="s">
        <v>105</v>
      </c>
      <c s="2371"/>
      <c s="1655" t="str">
        <f>IF(H24="","",INDEX(DIFFERENTIATION_UNMERGE_VD,MATCH(H24,DIFFERENTIATION_ID_DIFF,0)))</f>
        <v/>
      </c>
      <c s="1655" t="str">
        <f>IF(I24="","",INDEX(DIFFERENTIATION_UNMERGE_VD,MATCH(I24,DIFFERENTIATION_ID_DIFF,0)))</f>
        <v>Водоотведение; Транспортировка; Подключение (технологическое присоединение) к централизованной системе водоотведения</v>
      </c>
      <c s="2130"/>
      <c r="AF25" s="1634">
        <v>11</v>
      </c>
    </row>
    <row r="26" spans="5:32" ht="11.55" customHeight="1">
      <c r="E26" s="714"/>
      <c s="2370" t="s">
        <v>564</v>
      </c>
      <c s="2371"/>
      <c s="1655" t="str">
        <f>IF(H24="","",INDEX(DIFFERENTIATION_UNMERGE_AREA,MATCH(H24,DIFFERENTIATION_ID_DIFF,0)))</f>
        <v/>
      </c>
      <c s="1655" t="str">
        <f>IF(I24="","",INDEX(DIFFERENTIATION_UNMERGE_AREA,MATCH(I24,DIFFERENTIATION_ID_DIFF,0)))</f>
        <v>Территория 1</v>
      </c>
      <c s="2130"/>
      <c r="AF26" s="1634">
        <v>11</v>
      </c>
    </row>
    <row r="27" spans="5:32" ht="11.55" customHeight="1">
      <c r="E27" s="714"/>
      <c s="2370" t="s">
        <v>565</v>
      </c>
      <c s="2371"/>
      <c s="1655" t="str">
        <f>IF(H24="","",INDEX(DIFFERENTIATION_UNMERGE_SYSTEM,MATCH(H24,DIFFERENTIATION_ID_DIFF,0)))</f>
        <v/>
      </c>
      <c s="1655" t="str">
        <f>IF(I24="","",INDEX(DIFFERENTIATION_UNMERGE_SYSTEM,MATCH(I24,DIFFERENTIATION_ID_DIFF,0)))</f>
        <v>Ейский групповой водопровод (разводящие сети)</v>
      </c>
      <c s="2130"/>
      <c r="AF27" s="1634">
        <v>11</v>
      </c>
    </row>
    <row r="28" spans="5:32" ht="11.55" customHeight="1">
      <c r="E28" s="2372" t="s">
        <v>300</v>
      </c>
      <c s="2373"/>
      <c s="2373"/>
      <c s="1648"/>
      <c s="1648"/>
      <c s="2130"/>
      <c r="AF28" s="1634">
        <v>11</v>
      </c>
    </row>
    <row r="29" spans="5:32" ht="24" customHeight="1">
      <c r="E29" s="1649" t="s">
        <v>87</v>
      </c>
      <c s="1656" t="s">
        <v>302</v>
      </c>
      <c s="1656" t="s">
        <v>566</v>
      </c>
      <c s="1656" t="s">
        <v>303</v>
      </c>
      <c s="1656" t="s">
        <v>303</v>
      </c>
      <c s="2130"/>
      <c r="AF29" s="1634">
        <v>23</v>
      </c>
    </row>
    <row r="30" spans="4:32" ht="19.95" customHeight="1">
      <c r="D30" s="1641"/>
      <c s="549">
        <f>FHD_NUM_P_1</f>
        <v>1</v>
      </c>
      <c s="1883" t="str">
        <f>FHD_P_1</f>
        <v>Выручка от регулируемых видов деятельности в сфере водоотведения</v>
      </c>
      <c s="1881" t="s">
        <v>552</v>
      </c>
      <c s="560"/>
      <c s="560"/>
      <c s="292" t="str">
        <f>FHD_NOTE_P_1</f>
        <v>Указывается выручка с распределением по видам деятельности.</v>
      </c>
      <c s="546"/>
      <c r="AF30" s="1634">
        <v>19</v>
      </c>
    </row>
    <row r="31" spans="4:32" ht="11.55" customHeight="1">
      <c r="D31" s="1641"/>
      <c s="549">
        <f>FHD_NUM_P_2</f>
        <v>2</v>
      </c>
      <c s="1883" t="str">
        <f>FHD_P_2</f>
        <v>Себестоимость производимых товаров (оказываемых услуг) по регулируемым видам деятельности в сфере водоотведения, включая:</v>
      </c>
      <c s="1881" t="s">
        <v>552</v>
      </c>
      <c s="561">
        <f>SUMIF($K33:$K71,$K31,H33:H71)</f>
        <v>0</v>
      </c>
      <c s="561">
        <f>SUMIF($K33:$K71,$K31,I33:I71)</f>
        <v>0</v>
      </c>
      <c s="292" t="str">
        <f>FHD_NOTE_P_2</f>
        <v>Указывается суммарная себестоимость производимых товаров.</v>
      </c>
      <c s="1639" t="s">
        <v>567</v>
      </c>
      <c r="AF31" s="1634">
        <v>11</v>
      </c>
    </row>
    <row r="32" spans="4:32" ht="11.55" customHeight="1">
      <c r="D32" s="1641"/>
      <c s="549" t="str">
        <f>FHD_NUM_P_3</f>
        <v>2.1</v>
      </c>
      <c s="1527" t="str">
        <f>FHD_P_3</f>
        <v>Расходы на оплату услуг по приему, транспортировке и очистке сточных вод другими организациями</v>
      </c>
      <c s="1881" t="s">
        <v>552</v>
      </c>
      <c s="560"/>
      <c s="560"/>
      <c s="292" t="str">
        <f>FHD_NOTE_P_3</f>
        <v/>
      </c>
      <c s="1639" t="str">
        <f>IF((LEN(E32)-LEN(SUBSTITUTE(E32,".","")))/LEN(".")=1,"p","")</f>
        <v>p</v>
      </c>
      <c r="AF32" s="1634">
        <v>11</v>
      </c>
    </row>
    <row r="33" spans="1:32" ht="11.25" customHeight="1" hidden="1">
      <c r="A33" s="2374" t="s">
        <v>568</v>
      </c>
      <c r="D33" s="1641"/>
      <c s="549" t="str">
        <f>FHD_NUM_P_4</f>
        <v/>
      </c>
      <c s="1527" t="str">
        <f>FHD_P_4</f>
        <v/>
      </c>
      <c s="1881" t="s">
        <v>552</v>
      </c>
      <c s="561">
        <f>SUMIF($F34:$F40,$F3,H34:H40)</f>
        <v>0</v>
      </c>
      <c s="561">
        <f>SUMIF($F34:$F40,$F3,I34:I40)</f>
        <v>0</v>
      </c>
      <c s="292" t="str">
        <f>FHD_NOTE_P_4</f>
        <v/>
      </c>
      <c s="1639" t="str">
        <f>IF((LEN(E33)-LEN(SUBSTITUTE(E33,".","")))/LEN(".")=1,"p","")</f>
        <v/>
      </c>
      <c r="AF33" s="1634">
        <v>0</v>
      </c>
    </row>
    <row r="34" spans="1:32" s="1644" customFormat="1" ht="0.75" customHeight="1" hidden="1">
      <c r="A34" s="2374"/>
      <c s="2375" t="str">
        <f>E33&amp;".0"</f>
        <v>.0</v>
      </c>
      <c s="1170"/>
      <c s="563"/>
      <c s="564"/>
      <c s="565"/>
      <c s="566"/>
      <c s="500"/>
      <c s="500"/>
      <c s="567"/>
      <c s="1639" t="str">
        <f>IF((LEN(E34)-LEN(SUBSTITUTE(E34,".","")))/LEN(".")=1,"p","")</f>
        <v/>
      </c>
      <c s="1639"/>
      <c s="1639"/>
      <c s="1639"/>
      <c s="1639"/>
      <c s="1639"/>
      <c s="1639"/>
      <c s="1639"/>
      <c s="1639"/>
      <c s="1639"/>
      <c s="568"/>
      <c s="1639"/>
      <c s="1639"/>
      <c s="1639"/>
      <c s="1639"/>
      <c s="1639"/>
      <c s="569"/>
      <c s="569"/>
      <c s="569"/>
      <c s="569"/>
      <c s="569"/>
      <c s="1644">
        <v>0</v>
      </c>
    </row>
    <row r="35" spans="1:32" s="1644" customFormat="1" ht="0.75" customHeight="1" hidden="1">
      <c r="A35" s="2374"/>
      <c s="2375"/>
      <c s="1170"/>
      <c s="563"/>
      <c s="570"/>
      <c s="571"/>
      <c s="566"/>
      <c s="572"/>
      <c s="572"/>
      <c s="567"/>
      <c s="1639" t="str">
        <f>IF((LEN(E35)-LEN(SUBSTITUTE(E35,".","")))/LEN(".")=1,"p","")</f>
        <v/>
      </c>
      <c s="1639"/>
      <c s="1639"/>
      <c s="1639"/>
      <c s="1639"/>
      <c s="1639"/>
      <c s="1639"/>
      <c s="1639"/>
      <c s="1639"/>
      <c s="1639"/>
      <c s="568"/>
      <c s="1639"/>
      <c s="1639"/>
      <c s="1639"/>
      <c s="1639"/>
      <c s="1639"/>
      <c s="569"/>
      <c s="569"/>
      <c s="569"/>
      <c s="569"/>
      <c s="569"/>
      <c s="1644">
        <v>0</v>
      </c>
    </row>
    <row r="36" spans="1:32" s="1644" customFormat="1" ht="0.75" customHeight="1" hidden="1">
      <c r="A36" s="2374"/>
      <c s="2375"/>
      <c s="1170"/>
      <c s="563"/>
      <c s="570"/>
      <c s="571"/>
      <c s="566"/>
      <c s="572"/>
      <c s="572"/>
      <c s="567"/>
      <c s="1639" t="str">
        <f>IF((LEN(E36)-LEN(SUBSTITUTE(E36,".","")))/LEN(".")=1,"p","")</f>
        <v/>
      </c>
      <c s="1639"/>
      <c s="1639"/>
      <c s="1639"/>
      <c s="1639"/>
      <c s="1639"/>
      <c s="1639"/>
      <c s="1639"/>
      <c s="1639"/>
      <c s="1639"/>
      <c s="568"/>
      <c s="1639"/>
      <c s="1639"/>
      <c s="1639"/>
      <c s="1639"/>
      <c s="1639"/>
      <c s="569"/>
      <c s="569"/>
      <c s="569"/>
      <c s="569"/>
      <c s="569"/>
      <c s="1644">
        <v>0</v>
      </c>
    </row>
    <row r="37" spans="1:32" s="1644" customFormat="1" ht="0.75" customHeight="1" hidden="1">
      <c r="A37" s="2374"/>
      <c s="2375"/>
      <c s="1170"/>
      <c s="563"/>
      <c s="570"/>
      <c s="571"/>
      <c s="566"/>
      <c s="572"/>
      <c s="572"/>
      <c s="567"/>
      <c s="1639" t="str">
        <f>IF((LEN(E37)-LEN(SUBSTITUTE(E37,".","")))/LEN(".")=1,"p","")</f>
        <v/>
      </c>
      <c s="1639"/>
      <c s="1639"/>
      <c s="1639"/>
      <c s="1639"/>
      <c s="1639"/>
      <c s="1639"/>
      <c s="1639"/>
      <c s="1639"/>
      <c s="1639"/>
      <c s="568"/>
      <c s="1639"/>
      <c s="1639"/>
      <c s="1639"/>
      <c s="1639"/>
      <c s="1639"/>
      <c s="569"/>
      <c s="569"/>
      <c s="569"/>
      <c s="569"/>
      <c s="569"/>
      <c s="1644">
        <v>0</v>
      </c>
    </row>
    <row r="38" spans="1:32" s="1644" customFormat="1" ht="0.75" customHeight="1" hidden="1">
      <c r="A38" s="2374"/>
      <c s="2375"/>
      <c s="1170"/>
      <c s="563"/>
      <c s="570"/>
      <c s="571"/>
      <c s="566"/>
      <c s="572"/>
      <c s="572"/>
      <c s="567"/>
      <c s="1639" t="str">
        <f>IF((LEN(E38)-LEN(SUBSTITUTE(E38,".","")))/LEN(".")=1,"p","")</f>
        <v/>
      </c>
      <c s="1639"/>
      <c s="1639"/>
      <c s="1639"/>
      <c s="1639"/>
      <c s="1639"/>
      <c s="1639"/>
      <c s="1639"/>
      <c s="1639"/>
      <c s="1639"/>
      <c s="568"/>
      <c s="1639"/>
      <c s="1639"/>
      <c s="1639"/>
      <c s="1639"/>
      <c s="1639"/>
      <c s="569"/>
      <c s="569"/>
      <c s="569"/>
      <c s="569"/>
      <c s="569"/>
      <c s="1644">
        <v>0</v>
      </c>
    </row>
    <row r="39" spans="1:32" s="1644" customFormat="1" ht="0.75" customHeight="1" hidden="1">
      <c r="A39" s="2374"/>
      <c s="2375"/>
      <c s="1170"/>
      <c s="563"/>
      <c s="570"/>
      <c s="571"/>
      <c s="566"/>
      <c s="500"/>
      <c s="500"/>
      <c s="567"/>
      <c s="1639" t="str">
        <f>IF((LEN(E39)-LEN(SUBSTITUTE(E39,".","")))/LEN(".")=1,"p","")</f>
        <v/>
      </c>
      <c s="1639"/>
      <c s="1639"/>
      <c s="1639"/>
      <c s="1639"/>
      <c s="1639"/>
      <c s="1639"/>
      <c s="1639"/>
      <c s="1639"/>
      <c s="1639"/>
      <c s="568"/>
      <c s="1639"/>
      <c s="1639"/>
      <c s="1639"/>
      <c s="1639"/>
      <c s="1639"/>
      <c s="569"/>
      <c s="569"/>
      <c s="569"/>
      <c s="569"/>
      <c s="569"/>
      <c s="1644">
        <v>0</v>
      </c>
    </row>
    <row r="40" spans="1:32" s="1369" customFormat="1" ht="15" customHeight="1" hidden="1">
      <c r="A40" s="2374"/>
      <c r="C40" s="1639"/>
      <c s="1636"/>
      <c s="573"/>
      <c s="574" t="s">
        <v>569</v>
      </c>
      <c s="575"/>
      <c s="576"/>
      <c s="576"/>
      <c s="304"/>
      <c s="1639" t="str">
        <f>IF((LEN(E40)-LEN(SUBSTITUTE(E40,".","")))/LEN(".")=1,"p","")</f>
        <v/>
      </c>
      <c s="1639"/>
      <c s="1639"/>
      <c r="R40" s="1639"/>
      <c r="U40" s="547"/>
      <c r="AA40" s="1635"/>
      <c s="1635"/>
      <c s="1635"/>
      <c s="1635"/>
      <c s="1635"/>
      <c s="1163">
        <v>0</v>
      </c>
    </row>
    <row r="41" spans="1:32" ht="11.25" customHeight="1" hidden="1">
      <c r="A41" s="2374" t="s">
        <v>570</v>
      </c>
      <c r="D41" s="1641"/>
      <c s="549" t="str">
        <f>FHD_NUM_P_5</f>
        <v/>
      </c>
      <c s="1527" t="str">
        <f>FHD_P_5</f>
        <v/>
      </c>
      <c s="1881" t="s">
        <v>552</v>
      </c>
      <c s="560"/>
      <c s="560"/>
      <c s="292" t="str">
        <f>FHD_NOTE_P_5</f>
        <v/>
      </c>
      <c s="1639" t="str">
        <f>IF((LEN(E41)-LEN(SUBSTITUTE(E41,".","")))/LEN(".")=1,"p","")</f>
        <v/>
      </c>
      <c r="AF41" s="1634">
        <v>0</v>
      </c>
    </row>
    <row r="42" spans="1:32" ht="11.25" customHeight="1" hidden="1">
      <c r="A42" s="2374"/>
      <c r="D42" s="1641"/>
      <c s="549" t="str">
        <f>FHD_NUM_P_6</f>
        <v/>
      </c>
      <c s="1527" t="str">
        <f>FHD_P_6</f>
        <v/>
      </c>
      <c s="1881" t="s">
        <v>552</v>
      </c>
      <c s="560"/>
      <c s="560"/>
      <c s="292" t="str">
        <f>FHD_NOTE_P_6</f>
        <v/>
      </c>
      <c s="1639" t="str">
        <f>IF((LEN(E42)-LEN(SUBSTITUTE(E42,".","")))/LEN(".")=1,"p","")</f>
        <v/>
      </c>
      <c r="AF42" s="1634">
        <v>0</v>
      </c>
    </row>
    <row r="43" spans="1:32" ht="11.25" customHeight="1" hidden="1">
      <c r="A43" s="2374"/>
      <c r="D43" s="1641"/>
      <c s="549" t="str">
        <f>FHD_NUM_P_7</f>
        <v/>
      </c>
      <c s="1527" t="str">
        <f>FHD_P_7</f>
        <v/>
      </c>
      <c s="1881" t="s">
        <v>552</v>
      </c>
      <c s="560"/>
      <c s="560"/>
      <c s="292" t="str">
        <f>FHD_NOTE_P_7</f>
        <v/>
      </c>
      <c s="1639" t="str">
        <f>IF((LEN(E43)-LEN(SUBSTITUTE(E43,".","")))/LEN(".")=1,"p","")</f>
        <v/>
      </c>
      <c r="AF43" s="1634">
        <v>0</v>
      </c>
    </row>
    <row r="44" spans="4:32" ht="11.55" customHeight="1">
      <c r="D44" s="1641"/>
      <c s="549" t="str">
        <f>FHD_NUM_P_8</f>
        <v>2.2</v>
      </c>
      <c s="1527" t="str">
        <f>FHD_P_8</f>
        <v>Расходы на приобретаемую электрическую энергию (мощность), используемую в технологическом процессе</v>
      </c>
      <c s="1881" t="s">
        <v>552</v>
      </c>
      <c s="560"/>
      <c s="560"/>
      <c s="292" t="str">
        <f>FHD_NOTE_P_8</f>
        <v/>
      </c>
      <c s="1639" t="str">
        <f>IF((LEN(E44)-LEN(SUBSTITUTE(E44,".","")))/LEN(".")=1,"p","")</f>
        <v>p</v>
      </c>
      <c r="AF44" s="1634">
        <v>11</v>
      </c>
    </row>
    <row r="45" spans="4:32" ht="11.55" customHeight="1">
      <c r="D45" s="1641"/>
      <c s="549" t="str">
        <f>FHD_NUM_P_9</f>
        <v>2.2.1</v>
      </c>
      <c s="1653" t="str">
        <f>FHD_P_9</f>
        <v>Средневзвешенная стоимость 1 кВт.ч (с учетом мощности)</v>
      </c>
      <c s="1881" t="s">
        <v>571</v>
      </c>
      <c s="560"/>
      <c s="560"/>
      <c s="292" t="str">
        <f>FHD_NOTE_P_9</f>
        <v/>
      </c>
      <c s="1639" t="str">
        <f>IF((LEN(E45)-LEN(SUBSTITUTE(E45,".","")))/LEN(".")=1,"p","")</f>
        <v/>
      </c>
      <c r="AF45" s="1634">
        <v>11</v>
      </c>
    </row>
    <row r="46" spans="1:32" s="1369" customFormat="1" ht="11.55" customHeight="1">
      <c r="A46" s="990"/>
      <c r="C46" s="1639"/>
      <c s="577"/>
      <c s="549" t="str">
        <f>FHD_NUM_P_10</f>
        <v>2.2.2</v>
      </c>
      <c s="1653" t="str">
        <f>FHD_P_10</f>
        <v>Объём приобретения электрической энергии</v>
      </c>
      <c s="1881" t="s">
        <v>572</v>
      </c>
      <c s="560"/>
      <c s="560"/>
      <c s="292" t="str">
        <f>FHD_NOTE_P_10</f>
        <v/>
      </c>
      <c s="1639" t="str">
        <f>IF((LEN(E46)-LEN(SUBSTITUTE(E46,".","")))/LEN(".")=1,"p","")</f>
        <v/>
      </c>
      <c s="1639"/>
      <c s="1639"/>
      <c r="R46" s="1639"/>
      <c r="U46" s="547"/>
      <c r="AA46" s="1635"/>
      <c s="1635"/>
      <c s="1635"/>
      <c s="1635"/>
      <c s="1635"/>
      <c s="1163">
        <v>11</v>
      </c>
    </row>
    <row r="47" spans="1:32" s="1369" customFormat="1" ht="11.25" customHeight="1" hidden="1">
      <c r="A47" s="992" t="s">
        <v>573</v>
      </c>
      <c r="C47" s="1639"/>
      <c s="578"/>
      <c s="549" t="str">
        <f>FHD_NUM_P_11</f>
        <v/>
      </c>
      <c s="1527" t="str">
        <f>FHD_P_11</f>
        <v/>
      </c>
      <c s="1881" t="s">
        <v>552</v>
      </c>
      <c s="560"/>
      <c s="560"/>
      <c s="292" t="str">
        <f>FHD_NOTE_P_11</f>
        <v/>
      </c>
      <c s="1639" t="str">
        <f>IF((LEN(E47)-LEN(SUBSTITUTE(E47,".","")))/LEN(".")=1,"p","")</f>
        <v/>
      </c>
      <c s="1639"/>
      <c s="1639"/>
      <c r="R47" s="1639"/>
      <c r="U47" s="547"/>
      <c r="AA47" s="1635"/>
      <c s="1635"/>
      <c s="1635"/>
      <c s="1635"/>
      <c s="1635"/>
      <c s="1163">
        <v>0</v>
      </c>
    </row>
    <row r="48" spans="1:32" s="1369" customFormat="1" ht="18.75" customHeight="1">
      <c r="A48" s="992" t="s">
        <v>574</v>
      </c>
      <c r="C48" s="1639"/>
      <c s="1641"/>
      <c s="549" t="str">
        <f>FHD_NUM_P_12</f>
        <v>2.3</v>
      </c>
      <c s="1527" t="str">
        <f>FHD_P_12</f>
        <v>Расходы на химические реагенты, используемые в технологическом процессе</v>
      </c>
      <c s="1881" t="s">
        <v>552</v>
      </c>
      <c s="580"/>
      <c s="580"/>
      <c s="292" t="str">
        <f>FHD_NOTE_P_12</f>
        <v/>
      </c>
      <c s="1639" t="str">
        <f>IF((LEN(E48)-LEN(SUBSTITUTE(E48,".","")))/LEN(".")=1,"p","")</f>
        <v>p</v>
      </c>
      <c s="1639"/>
      <c s="1639"/>
      <c r="R48" s="1639"/>
      <c r="U48" s="547"/>
      <c r="AA48" s="1635"/>
      <c s="1635"/>
      <c s="1635"/>
      <c s="1635"/>
      <c s="1635"/>
      <c s="1163">
        <v>18</v>
      </c>
    </row>
    <row r="49" spans="1:32" s="1368" customFormat="1" ht="11.55" customHeight="1">
      <c r="A49" s="991"/>
      <c r="C49" s="733"/>
      <c s="676"/>
      <c s="549" t="str">
        <f>FHD_NUM_P_13</f>
        <v>2.4</v>
      </c>
      <c s="1527" t="str">
        <f>FHD_P_13</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s="1881" t="s">
        <v>552</v>
      </c>
      <c s="560"/>
      <c s="560"/>
      <c s="292" t="str">
        <f>FHD_NOTE_P_13</f>
        <v>Указывается общая сумма расходов на оплату труда и отчислений на социальные нужды основного производственного персонала.</v>
      </c>
      <c s="1639" t="str">
        <f>IF((LEN(E49)-LEN(SUBSTITUTE(E49,".","")))/LEN(".")=1,"p","")</f>
        <v>p</v>
      </c>
      <c s="733"/>
      <c s="733"/>
      <c r="R49" s="733"/>
      <c r="U49" s="734"/>
      <c r="AA49" s="735"/>
      <c s="735"/>
      <c s="735"/>
      <c s="735"/>
      <c s="735"/>
      <c s="732">
        <v>11</v>
      </c>
    </row>
    <row r="50" spans="1:32" s="1368" customFormat="1" ht="11.55" customHeight="1">
      <c r="A50" s="991"/>
      <c r="C50" s="733"/>
      <c s="676"/>
      <c s="549" t="str">
        <f>FHD_NUM_P_14</f>
        <v>2.4.1</v>
      </c>
      <c s="1653" t="str">
        <f>FHD_P_14</f>
        <v>Расходы на оплату труда основного производственного персонала</v>
      </c>
      <c s="1881" t="s">
        <v>552</v>
      </c>
      <c s="560"/>
      <c s="560"/>
      <c s="292" t="str">
        <f>FHD_NOTE_P_14</f>
        <v/>
      </c>
      <c s="1639" t="str">
        <f>IF((LEN(E50)-LEN(SUBSTITUTE(E50,".","")))/LEN(".")=1,"p","")</f>
        <v/>
      </c>
      <c s="733"/>
      <c s="733"/>
      <c r="R50" s="733"/>
      <c r="U50" s="734"/>
      <c r="AA50" s="735"/>
      <c s="735"/>
      <c s="735"/>
      <c s="735"/>
      <c s="735"/>
      <c s="732">
        <v>11</v>
      </c>
    </row>
    <row r="51" spans="1:32" s="1368" customFormat="1" ht="11.55" customHeight="1">
      <c r="A51" s="991"/>
      <c r="C51" s="733"/>
      <c s="676"/>
      <c s="549" t="str">
        <f>FHD_NUM_P_15</f>
        <v>2.4.2</v>
      </c>
      <c s="1653" t="str">
        <f>FHD_P_15</f>
        <v>Страховые взносы на обязательное социальное страхование, выплачиваемые из фонда оплаты труда основного производственного персонала</v>
      </c>
      <c s="1881" t="s">
        <v>552</v>
      </c>
      <c s="560"/>
      <c s="560"/>
      <c s="292" t="str">
        <f>FHD_NOTE_P_15</f>
        <v/>
      </c>
      <c s="1639" t="str">
        <f>IF((LEN(E51)-LEN(SUBSTITUTE(E51,".","")))/LEN(".")=1,"p","")</f>
        <v/>
      </c>
      <c s="733"/>
      <c s="733"/>
      <c r="R51" s="733"/>
      <c r="U51" s="734"/>
      <c r="AA51" s="735"/>
      <c s="735"/>
      <c s="735"/>
      <c s="735"/>
      <c s="735"/>
      <c s="732">
        <v>11</v>
      </c>
    </row>
    <row r="52" spans="1:32" s="1369" customFormat="1" ht="11.55" customHeight="1">
      <c r="A52" s="990"/>
      <c r="C52" s="1639"/>
      <c s="1641"/>
      <c s="549" t="str">
        <f>FHD_NUM_P_16</f>
        <v>2.5</v>
      </c>
      <c s="1527" t="str">
        <f>FHD_P_16</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v>
      </c>
      <c s="1881" t="s">
        <v>552</v>
      </c>
      <c s="560"/>
      <c s="560"/>
      <c s="292" t="str">
        <f>FHD_NOTE_P_16</f>
        <v>Указывается общая сумма расходов на оплату труда и отчислений на социальные нужды административно-управленческого персонала.</v>
      </c>
      <c s="1639" t="str">
        <f>IF((LEN(E52)-LEN(SUBSTITUTE(E52,".","")))/LEN(".")=1,"p","")</f>
        <v>p</v>
      </c>
      <c s="1639"/>
      <c s="1645"/>
      <c s="540"/>
      <c s="540"/>
      <c r="R52" s="1639"/>
      <c r="U52" s="547"/>
      <c r="AA52" s="1635"/>
      <c s="1635"/>
      <c s="1635"/>
      <c s="1635"/>
      <c s="1635"/>
      <c s="1163">
        <v>11</v>
      </c>
    </row>
    <row r="53" spans="1:32" s="1369" customFormat="1" ht="11.55" customHeight="1">
      <c r="A53" s="990"/>
      <c r="C53" s="1639"/>
      <c s="1641"/>
      <c s="549" t="str">
        <f>FHD_NUM_P_17</f>
        <v>2.5.1</v>
      </c>
      <c s="1653" t="str">
        <f>FHD_P_17</f>
        <v>Расходы на оплату труда административно-управленческого персонала, в том числе:</v>
      </c>
      <c s="1881" t="s">
        <v>552</v>
      </c>
      <c s="560"/>
      <c s="560"/>
      <c s="292" t="str">
        <f>FHD_NOTE_P_17</f>
        <v/>
      </c>
      <c s="1639" t="str">
        <f>IF((LEN(E53)-LEN(SUBSTITUTE(E53,".","")))/LEN(".")=1,"p","")</f>
        <v/>
      </c>
      <c s="1639"/>
      <c s="1645"/>
      <c s="540"/>
      <c s="540"/>
      <c r="R53" s="1639"/>
      <c r="U53" s="547"/>
      <c r="AA53" s="1635"/>
      <c s="1635"/>
      <c s="1635"/>
      <c s="1635"/>
      <c s="1635"/>
      <c s="1163">
        <v>11</v>
      </c>
    </row>
    <row r="54" spans="1:32" s="1369" customFormat="1" ht="11.55" customHeight="1">
      <c r="A54" s="990"/>
      <c r="C54" s="1639"/>
      <c s="1641"/>
      <c s="549" t="str">
        <f>FHD_NUM_P_18</f>
        <v>2.5.2</v>
      </c>
      <c s="1653" t="str">
        <f>FHD_P_18</f>
        <v>Страховые взносы на обязательное социальное страхование, выплачиваемые из фонда оплаты труда административно-управленческого персонала</v>
      </c>
      <c s="1881" t="s">
        <v>552</v>
      </c>
      <c s="560"/>
      <c s="560"/>
      <c s="292" t="str">
        <f>FHD_NOTE_P_18</f>
        <v/>
      </c>
      <c s="1639" t="str">
        <f>IF((LEN(E54)-LEN(SUBSTITUTE(E54,".","")))/LEN(".")=1,"p","")</f>
        <v/>
      </c>
      <c s="1639"/>
      <c s="1645"/>
      <c s="540"/>
      <c s="540"/>
      <c r="R54" s="1639"/>
      <c r="U54" s="547"/>
      <c r="AA54" s="1635"/>
      <c s="1635"/>
      <c s="1635"/>
      <c s="1635"/>
      <c s="1635"/>
      <c s="1163">
        <v>11</v>
      </c>
    </row>
    <row r="55" spans="1:32" s="1369" customFormat="1" ht="11.55" customHeight="1">
      <c r="A55" s="990"/>
      <c r="C55" s="1639"/>
      <c s="578"/>
      <c s="549" t="str">
        <f>FHD_NUM_P_19</f>
        <v>2.6</v>
      </c>
      <c s="1527" t="str">
        <f>FHD_P_19</f>
        <v>Расходы на амортизацию основных средств и нематериальных активов</v>
      </c>
      <c s="1881" t="s">
        <v>552</v>
      </c>
      <c s="560"/>
      <c s="560"/>
      <c s="292" t="str">
        <f>FHD_NOTE_P_19</f>
        <v/>
      </c>
      <c s="1639" t="str">
        <f>IF((LEN(E55)-LEN(SUBSTITUTE(E55,".","")))/LEN(".")=1,"p","")</f>
        <v>p</v>
      </c>
      <c s="1639"/>
      <c s="1639"/>
      <c r="R55" s="1639"/>
      <c r="U55" s="547"/>
      <c r="AA55" s="1635"/>
      <c s="1635"/>
      <c s="1635"/>
      <c s="1635"/>
      <c s="1635"/>
      <c s="1163">
        <v>11</v>
      </c>
    </row>
    <row r="56" spans="1:32" s="1369" customFormat="1" ht="11.55" customHeight="1">
      <c r="A56" s="990"/>
      <c r="C56" s="1639"/>
      <c s="578"/>
      <c s="549" t="str">
        <f>FHD_NUM_P_20</f>
        <v>2.6.1</v>
      </c>
      <c s="1653" t="str">
        <f>FHD_P_20</f>
        <v>Расходы на амортизацию основных средств</v>
      </c>
      <c s="1881" t="s">
        <v>552</v>
      </c>
      <c s="560"/>
      <c s="560"/>
      <c s="292" t="str">
        <f>FHD_NOTE_P_20</f>
        <v/>
      </c>
      <c s="1639" t="str">
        <f>IF((LEN(E56)-LEN(SUBSTITUTE(E56,".","")))/LEN(".")=1,"p","")</f>
        <v/>
      </c>
      <c s="1639"/>
      <c s="1639"/>
      <c r="R56" s="1639"/>
      <c r="U56" s="547"/>
      <c r="AA56" s="1635"/>
      <c s="1635"/>
      <c s="1635"/>
      <c s="1635"/>
      <c s="1635"/>
      <c s="1163">
        <v>11</v>
      </c>
    </row>
    <row r="57" spans="1:32" s="1369" customFormat="1" ht="11.55" customHeight="1">
      <c r="A57" s="990"/>
      <c r="C57" s="1639"/>
      <c s="578"/>
      <c s="549" t="str">
        <f>FHD_NUM_P_21</f>
        <v>2.6.2</v>
      </c>
      <c s="1653" t="str">
        <f>FHD_P_21</f>
        <v>Расходы на амортизацию нематериальных активов</v>
      </c>
      <c s="1881" t="s">
        <v>552</v>
      </c>
      <c s="560"/>
      <c s="560"/>
      <c s="292" t="str">
        <f>FHD_NOTE_P_21</f>
        <v/>
      </c>
      <c s="1639" t="str">
        <f>IF((LEN(E57)-LEN(SUBSTITUTE(E57,".","")))/LEN(".")=1,"p","")</f>
        <v/>
      </c>
      <c s="1639"/>
      <c s="1639"/>
      <c r="R57" s="1639"/>
      <c r="U57" s="547"/>
      <c r="AA57" s="1635"/>
      <c s="1635"/>
      <c s="1635"/>
      <c s="1635"/>
      <c s="1635"/>
      <c s="1163">
        <v>11</v>
      </c>
    </row>
    <row r="58" spans="1:32" s="1369" customFormat="1" ht="11.55" customHeight="1">
      <c r="A58" s="990"/>
      <c r="C58" s="1639"/>
      <c s="1641"/>
      <c s="549" t="str">
        <f>FHD_NUM_P_22</f>
        <v>2.7</v>
      </c>
      <c s="1527" t="str">
        <f>FHD_P_22</f>
        <v>Расходы на аренду имущества, используемого для осуществления регулируемых видов деятельности в сфере водоотведения</v>
      </c>
      <c s="1881" t="s">
        <v>552</v>
      </c>
      <c s="560"/>
      <c s="560"/>
      <c s="292" t="str">
        <f>FHD_NOTE_P_22</f>
        <v/>
      </c>
      <c s="1639" t="str">
        <f>IF((LEN(E58)-LEN(SUBSTITUTE(E58,".","")))/LEN(".")=1,"p","")</f>
        <v>p</v>
      </c>
      <c s="1639"/>
      <c s="1639"/>
      <c r="R58" s="1639"/>
      <c r="U58" s="547"/>
      <c r="AA58" s="1635"/>
      <c s="1635"/>
      <c s="1635"/>
      <c s="1635"/>
      <c s="1635"/>
      <c s="1163">
        <v>11</v>
      </c>
    </row>
    <row r="59" spans="1:32" s="1369" customFormat="1" ht="11.55" customHeight="1">
      <c r="A59" s="990"/>
      <c r="C59" s="1639"/>
      <c s="578"/>
      <c s="549" t="str">
        <f>FHD_NUM_P_23</f>
        <v>2.8</v>
      </c>
      <c s="1527" t="str">
        <f>FHD_P_23</f>
        <v>Общепроизводственные расходы, в том числе:</v>
      </c>
      <c s="1881" t="s">
        <v>552</v>
      </c>
      <c s="560"/>
      <c s="560"/>
      <c s="292" t="str">
        <f>FHD_NOTE_P_23</f>
        <v>Указывается общая сумма общепроизводственных расходов.</v>
      </c>
      <c s="1639" t="str">
        <f>IF((LEN(E59)-LEN(SUBSTITUTE(E59,".","")))/LEN(".")=1,"p","")</f>
        <v>p</v>
      </c>
      <c s="1639"/>
      <c s="1639"/>
      <c r="R59" s="1639"/>
      <c r="U59" s="547"/>
      <c r="AA59" s="1635"/>
      <c s="1635"/>
      <c s="1635"/>
      <c s="1635"/>
      <c s="1635"/>
      <c s="1163">
        <v>11</v>
      </c>
    </row>
    <row r="60" spans="1:32" s="1369" customFormat="1" ht="11.55" customHeight="1">
      <c r="A60" s="990"/>
      <c r="C60" s="1639"/>
      <c s="578"/>
      <c s="549" t="str">
        <f>FHD_NUM_P_24</f>
        <v>2.8.1</v>
      </c>
      <c s="1653" t="str">
        <f>FHD_P_24</f>
        <v>Расходы на текущий ремонт</v>
      </c>
      <c s="1881" t="s">
        <v>552</v>
      </c>
      <c s="560"/>
      <c s="560"/>
      <c s="292" t="str">
        <f>FHD_NOTE_P_24</f>
        <v>Указываются расходы на текущий ремонт, отнесенные к общепроизводственным расходам.</v>
      </c>
      <c s="1639" t="str">
        <f>IF((LEN(E60)-LEN(SUBSTITUTE(E60,".","")))/LEN(".")=1,"p","")</f>
        <v/>
      </c>
      <c s="1639"/>
      <c s="1639"/>
      <c r="R60" s="1639"/>
      <c r="U60" s="547"/>
      <c r="AA60" s="1635"/>
      <c s="1635"/>
      <c s="1635"/>
      <c s="1635"/>
      <c s="1635"/>
      <c s="1163">
        <v>11</v>
      </c>
    </row>
    <row r="61" spans="1:32" s="1369" customFormat="1" ht="11.55" customHeight="1">
      <c r="A61" s="990"/>
      <c r="C61" s="1639"/>
      <c s="578"/>
      <c s="549" t="str">
        <f>FHD_NUM_P_25</f>
        <v>2.8.2</v>
      </c>
      <c s="1653" t="str">
        <f>FHD_P_25</f>
        <v>Расходы на капитальный ремонт</v>
      </c>
      <c s="1881" t="s">
        <v>552</v>
      </c>
      <c s="560"/>
      <c s="560"/>
      <c s="292" t="str">
        <f>FHD_NOTE_P_25</f>
        <v>Указываются расходы на капитальный ремонт, отнесенные к общепроизводственным расходам.</v>
      </c>
      <c s="1639" t="str">
        <f>IF((LEN(E61)-LEN(SUBSTITUTE(E61,".","")))/LEN(".")=1,"p","")</f>
        <v/>
      </c>
      <c s="1639"/>
      <c s="1639"/>
      <c r="R61" s="1639"/>
      <c r="U61" s="547"/>
      <c r="AA61" s="1635"/>
      <c s="1635"/>
      <c s="1635"/>
      <c s="1635"/>
      <c s="1635"/>
      <c s="1163">
        <v>11</v>
      </c>
    </row>
    <row r="62" spans="1:32" s="1369" customFormat="1" ht="11.55" customHeight="1">
      <c r="A62" s="990"/>
      <c r="C62" s="1639"/>
      <c s="1641"/>
      <c s="549" t="str">
        <f>FHD_NUM_P_26</f>
        <v>2.9</v>
      </c>
      <c s="1527" t="str">
        <f>FHD_P_26</f>
        <v>Общехозяйственные расходы, в том числе:</v>
      </c>
      <c s="1881" t="s">
        <v>552</v>
      </c>
      <c s="560"/>
      <c s="560"/>
      <c s="292" t="str">
        <f>FHD_NOTE_P_26</f>
        <v>Указывается общая сумма общехозяйственных расходов.</v>
      </c>
      <c s="1639" t="str">
        <f>IF((LEN(E62)-LEN(SUBSTITUTE(E62,".","")))/LEN(".")=1,"p","")</f>
        <v>p</v>
      </c>
      <c s="1639"/>
      <c s="1639"/>
      <c r="R62" s="1639"/>
      <c r="U62" s="547"/>
      <c r="AA62" s="1635"/>
      <c s="1635"/>
      <c s="1635"/>
      <c s="1635"/>
      <c s="1635"/>
      <c s="1163">
        <v>11</v>
      </c>
    </row>
    <row r="63" spans="1:32" s="1369" customFormat="1" ht="11.55" customHeight="1">
      <c r="A63" s="990"/>
      <c r="C63" s="1639"/>
      <c s="1641"/>
      <c s="549" t="str">
        <f>FHD_NUM_P_27</f>
        <v>2.9.1</v>
      </c>
      <c s="1653" t="str">
        <f>FHD_P_27</f>
        <v>Расходы на текущий ремонт</v>
      </c>
      <c s="1881" t="s">
        <v>552</v>
      </c>
      <c s="560"/>
      <c s="560"/>
      <c s="292" t="str">
        <f>FHD_NOTE_P_27</f>
        <v>Указываются расходы на текущий ремонт, отнесенные к общехозяйственным расходам.</v>
      </c>
      <c s="1639" t="str">
        <f>IF((LEN(E63)-LEN(SUBSTITUTE(E63,".","")))/LEN(".")=1,"p","")</f>
        <v/>
      </c>
      <c s="1639"/>
      <c s="1639"/>
      <c r="R63" s="1639"/>
      <c r="U63" s="547"/>
      <c r="AA63" s="1635"/>
      <c s="1635"/>
      <c s="1635"/>
      <c s="1635"/>
      <c s="1635"/>
      <c s="1163">
        <v>11</v>
      </c>
    </row>
    <row r="64" spans="1:32" s="1369" customFormat="1" ht="11.55" customHeight="1">
      <c r="A64" s="990"/>
      <c r="C64" s="1639"/>
      <c s="1641"/>
      <c s="549" t="str">
        <f>FHD_NUM_P_28</f>
        <v>2.9.2</v>
      </c>
      <c s="1653" t="str">
        <f>FHD_P_28</f>
        <v>Расходы на капитальный ремонт</v>
      </c>
      <c s="1881" t="s">
        <v>552</v>
      </c>
      <c s="560"/>
      <c s="560"/>
      <c s="292" t="str">
        <f>FHD_NOTE_P_28</f>
        <v>Указываются расходы на капитальный ремонт, отнесенные к общехозяйственным расходам.</v>
      </c>
      <c s="1639" t="str">
        <f>IF((LEN(E64)-LEN(SUBSTITUTE(E64,".","")))/LEN(".")=1,"p","")</f>
        <v/>
      </c>
      <c s="1639"/>
      <c s="1639"/>
      <c r="R64" s="1639"/>
      <c r="U64" s="547"/>
      <c r="AA64" s="1635"/>
      <c s="1635"/>
      <c s="1635"/>
      <c s="1635"/>
      <c s="1635"/>
      <c s="1163">
        <v>11</v>
      </c>
    </row>
    <row r="65" spans="1:32" s="1369" customFormat="1" ht="11.55" customHeight="1">
      <c r="A65" s="990"/>
      <c r="C65" s="1639"/>
      <c s="1641"/>
      <c s="549" t="str">
        <f>FHD_NUM_P_29</f>
        <v>2.10</v>
      </c>
      <c s="1527" t="str">
        <f>FHD_P_29</f>
        <v>Расходы на капитальный и текущий ремонт основных средств</v>
      </c>
      <c s="1881" t="s">
        <v>552</v>
      </c>
      <c s="560"/>
      <c s="560"/>
      <c s="292" t="str">
        <f>FHD_NOTE_P_29</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s="1639" t="str">
        <f>IF((LEN(E65)-LEN(SUBSTITUTE(E65,".","")))/LEN(".")=1,"p","")</f>
        <v>p</v>
      </c>
      <c s="1639"/>
      <c s="1639"/>
      <c r="R65" s="1639"/>
      <c r="U65" s="547"/>
      <c r="AA65" s="1635"/>
      <c s="1635"/>
      <c s="1635"/>
      <c s="1635"/>
      <c s="1635"/>
      <c s="1163">
        <v>11</v>
      </c>
    </row>
    <row r="66" spans="1:32" s="1369" customFormat="1" ht="11.55" customHeight="1">
      <c r="A66" s="990"/>
      <c r="C66" s="1639"/>
      <c s="1641"/>
      <c s="549" t="str">
        <f>FHD_NUM_P_30</f>
        <v>2.10.1</v>
      </c>
      <c s="1653" t="str">
        <f>FHD_P_30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s="1881" t="s">
        <v>306</v>
      </c>
      <c s="1652" t="s">
        <v>575</v>
      </c>
      <c s="1652" t="s">
        <v>575</v>
      </c>
      <c s="292" t="str">
        <f>FHD_NOTE_P_30</f>
        <v/>
      </c>
      <c s="1639" t="str">
        <f>IF((LEN(E66)-LEN(SUBSTITUTE(E66,".","")))/LEN(".")=1,"p","")</f>
        <v/>
      </c>
      <c s="1639">
        <f>IFERROR(MATCH("есть",B_FHD_FLAG_INDEX_1,0),0)</f>
        <v>0</v>
      </c>
      <c s="1639"/>
      <c r="R66" s="1639"/>
      <c r="U66" s="547"/>
      <c r="AA66" s="1635"/>
      <c s="1635"/>
      <c s="1635"/>
      <c s="1635"/>
      <c s="1635"/>
      <c s="1163">
        <v>11</v>
      </c>
    </row>
    <row r="67" spans="1:32" s="1369" customFormat="1" ht="23.25" customHeight="1">
      <c r="A67" s="2374" t="s">
        <v>576</v>
      </c>
      <c r="C67" s="1639"/>
      <c s="1641"/>
      <c s="549" t="str">
        <f>FHD_NUM_P_31</f>
        <v>2.11</v>
      </c>
      <c s="1527" t="str">
        <f>FHD_P_31</f>
        <v>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v>
      </c>
      <c s="1881" t="s">
        <v>552</v>
      </c>
      <c s="560"/>
      <c s="560"/>
      <c s="292" t="str">
        <f>FHD_NOTE_P_31</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s="1639" t="str">
        <f>IF((LEN(E67)-LEN(SUBSTITUTE(E67,".","")))/LEN(".")=1,"p","")</f>
        <v>p</v>
      </c>
      <c s="1639"/>
      <c s="1639"/>
      <c r="R67" s="1639"/>
      <c r="U67" s="547"/>
      <c r="AA67" s="1635"/>
      <c s="1635"/>
      <c s="1635"/>
      <c s="1635"/>
      <c s="1635"/>
      <c s="1163">
        <v>22</v>
      </c>
    </row>
    <row r="68" spans="1:32" s="1369" customFormat="1" ht="47.25" customHeight="1">
      <c r="A68" s="2374"/>
      <c r="C68" s="1639"/>
      <c s="1641"/>
      <c s="549" t="str">
        <f>FHD_NUM_P_32</f>
        <v>2.11.1</v>
      </c>
      <c s="1653" t="str">
        <f>FHD_P_32</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s="1881" t="s">
        <v>306</v>
      </c>
      <c s="1652" t="s">
        <v>575</v>
      </c>
      <c s="1652" t="s">
        <v>575</v>
      </c>
      <c s="292" t="str">
        <f>FHD_NOTE_P_32</f>
        <v/>
      </c>
      <c s="1639" t="str">
        <f>IF((LEN(E68)-LEN(SUBSTITUTE(E68,".","")))/LEN(".")=1,"p","")</f>
        <v/>
      </c>
      <c s="1639">
        <f>IFERROR(MATCH("есть",B_FHD_FLAG_INDEX_2,0),0)</f>
        <v>0</v>
      </c>
      <c s="1639"/>
      <c r="R68" s="1639"/>
      <c r="U68" s="547"/>
      <c r="AA68" s="1635"/>
      <c s="1635"/>
      <c s="1635"/>
      <c s="1635"/>
      <c s="1635"/>
      <c s="1163">
        <v>45</v>
      </c>
    </row>
    <row r="69" spans="1:32" s="1369" customFormat="1" ht="11.55" customHeight="1">
      <c r="A69" s="990"/>
      <c r="C69" s="1639"/>
      <c s="1641"/>
      <c s="549" t="str">
        <f>FHD_NUM_P_33</f>
        <v>2.12</v>
      </c>
      <c s="1527" t="str">
        <f>FHD_P_33</f>
        <v>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v>
      </c>
      <c s="1882" t="s">
        <v>552</v>
      </c>
      <c s="582">
        <f>SUM(H70:H71)</f>
        <v>0</v>
      </c>
      <c s="582">
        <f>SUM(I70:I71)</f>
        <v>0</v>
      </c>
      <c s="292" t="str">
        <f>FHD_NOTE_P_33</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s="1639" t="str">
        <f>IF((LEN(E69)-LEN(SUBSTITUTE(E69,".","")))/LEN(".")=1,"p","")</f>
        <v>p</v>
      </c>
      <c s="1639"/>
      <c s="1639"/>
      <c r="R69" s="1639"/>
      <c r="U69" s="547"/>
      <c r="AA69" s="1635"/>
      <c s="1635"/>
      <c s="1635"/>
      <c s="1635"/>
      <c s="1635"/>
      <c s="1163">
        <v>11</v>
      </c>
    </row>
    <row r="70" spans="1:32" s="1645" customFormat="1" ht="1.05" customHeight="1">
      <c r="A70" s="1170"/>
      <c r="D70" s="551"/>
      <c s="1016" t="str">
        <f>E69&amp;".0"</f>
        <v>2.12.0</v>
      </c>
      <c s="994"/>
      <c s="1016"/>
      <c s="995"/>
      <c s="995"/>
      <c s="996"/>
      <c s="1639" t="str">
        <f>IF((LEN(E70)-LEN(SUBSTITUTE(E70,".","")))/LEN(".")=1,"p","")</f>
        <v/>
      </c>
      <c r="AF70" s="1639">
        <v>1</v>
      </c>
    </row>
    <row r="71" spans="1:32" s="1369" customFormat="1" ht="14.7" customHeight="1">
      <c r="A71" s="990"/>
      <c r="C71" s="1639"/>
      <c s="1636"/>
      <c s="573"/>
      <c s="574" t="s">
        <v>577</v>
      </c>
      <c s="575"/>
      <c s="576"/>
      <c s="576"/>
      <c s="304"/>
      <c s="1639"/>
      <c s="1639"/>
      <c s="1639"/>
      <c r="R71" s="1639"/>
      <c r="U71" s="547"/>
      <c r="AA71" s="1635"/>
      <c s="1635"/>
      <c s="1635"/>
      <c s="1635"/>
      <c s="1635"/>
      <c s="1163">
        <v>14</v>
      </c>
    </row>
    <row r="72" spans="1:32" s="1369" customFormat="1" ht="18.75" customHeight="1" hidden="1">
      <c r="A72" s="992" t="s">
        <v>578</v>
      </c>
      <c r="C72" s="1639"/>
      <c s="1641"/>
      <c s="549" t="str">
        <f>FHD_NUM_P_34</f>
        <v/>
      </c>
      <c s="1883" t="str">
        <f>FHD_P_34</f>
        <v/>
      </c>
      <c s="1881" t="s">
        <v>552</v>
      </c>
      <c s="560"/>
      <c s="560"/>
      <c s="292" t="str">
        <f>FHD_NOTE_P_34</f>
        <v/>
      </c>
      <c s="546"/>
      <c s="1639"/>
      <c s="1639"/>
      <c r="R72" s="1639"/>
      <c r="U72" s="547"/>
      <c r="AA72" s="1635"/>
      <c s="1635"/>
      <c s="1635"/>
      <c s="1635"/>
      <c s="1635"/>
      <c s="1163">
        <v>0</v>
      </c>
    </row>
    <row r="73" spans="1:32" s="1369" customFormat="1" ht="19.95" customHeight="1">
      <c r="A73" s="990"/>
      <c r="C73" s="1639"/>
      <c s="578"/>
      <c s="549" t="str">
        <f>FHD_NUM_P_35</f>
        <v>3</v>
      </c>
      <c s="1883" t="str">
        <f>FHD_P_35</f>
        <v>Чистая прибыль, полученная от регулируемого вида деятельности в сфере водоотведения, в том числе:</v>
      </c>
      <c s="1881" t="s">
        <v>552</v>
      </c>
      <c s="560"/>
      <c s="560"/>
      <c s="292" t="str">
        <f>FHD_NOTE_P_35</f>
        <v>Указывается общая сумма чистой прибыли, полученной от регулируемого вида деятельности.</v>
      </c>
      <c s="546"/>
      <c s="1639"/>
      <c s="1639"/>
      <c r="R73" s="1639"/>
      <c r="U73" s="547"/>
      <c r="AA73" s="1635"/>
      <c s="1635"/>
      <c s="1635"/>
      <c s="1635"/>
      <c s="1635"/>
      <c s="1163">
        <v>19</v>
      </c>
    </row>
    <row r="74" spans="1:32" s="1369" customFormat="1" ht="19.95" customHeight="1">
      <c r="A74" s="990"/>
      <c r="C74" s="1639"/>
      <c s="1641"/>
      <c s="549" t="str">
        <f>FHD_NUM_P_36</f>
        <v>3.1</v>
      </c>
      <c s="1527" t="str">
        <f>FHD_P_36</f>
        <v>Размер расходования чистой прибыли на финансирование мероприятий, предусмотренных инвестиционной программой регулируемой организации</v>
      </c>
      <c s="1881" t="s">
        <v>552</v>
      </c>
      <c s="560"/>
      <c s="560"/>
      <c s="292" t="str">
        <f>FHD_NOTE_P_36</f>
        <v/>
      </c>
      <c s="546"/>
      <c s="1639"/>
      <c s="1639"/>
      <c r="R74" s="1639"/>
      <c r="U74" s="547"/>
      <c r="AA74" s="1635"/>
      <c s="1635"/>
      <c s="1635"/>
      <c s="1635"/>
      <c s="1635"/>
      <c s="1163">
        <v>19</v>
      </c>
    </row>
    <row r="75" spans="1:32" s="1369" customFormat="1" ht="19.95" customHeight="1">
      <c r="A75" s="990"/>
      <c r="C75" s="1639"/>
      <c s="1641"/>
      <c s="549" t="str">
        <f>FHD_NUM_P_37</f>
        <v>4</v>
      </c>
      <c s="1883" t="str">
        <f>FHD_P_37</f>
        <v>Изменение стоимости основных фондов, в том числе:</v>
      </c>
      <c s="1881" t="s">
        <v>552</v>
      </c>
      <c s="560"/>
      <c s="560"/>
      <c s="292" t="str">
        <f>FHD_NOTE_P_37</f>
        <v>Указывается общее изменение стоимости основных фондов.</v>
      </c>
      <c s="546"/>
      <c s="1639"/>
      <c s="1639"/>
      <c r="R75" s="1639"/>
      <c r="U75" s="547"/>
      <c r="AA75" s="1635"/>
      <c s="1635"/>
      <c s="1635"/>
      <c s="1635"/>
      <c s="1635"/>
      <c s="1163">
        <v>19</v>
      </c>
    </row>
    <row r="76" spans="1:32" s="1369" customFormat="1" ht="19.95" customHeight="1">
      <c r="A76" s="990"/>
      <c r="C76" s="1639"/>
      <c s="1641"/>
      <c s="549" t="str">
        <f>FHD_NUM_P_38</f>
        <v>4.1</v>
      </c>
      <c s="1527" t="str">
        <f>FHD_P_38</f>
        <v>Изменение стоимости основных фондов за счет их ввода в эксплуатацию (вывода из эксплуатации)</v>
      </c>
      <c s="1881" t="s">
        <v>552</v>
      </c>
      <c s="560"/>
      <c s="560"/>
      <c s="292" t="str">
        <f>FHD_NOTE_P_38</f>
        <v>Указываются общее изменение стоимости основных фондов за счет их ввода в эксплуатацию и вывода из эксплуатации.</v>
      </c>
      <c s="546"/>
      <c s="1639"/>
      <c s="1639"/>
      <c r="R76" s="1639"/>
      <c r="U76" s="547"/>
      <c r="AA76" s="1635"/>
      <c s="1635"/>
      <c s="1635"/>
      <c s="1635"/>
      <c s="1635"/>
      <c s="1163">
        <v>19</v>
      </c>
    </row>
    <row r="77" spans="1:32" s="1369" customFormat="1" ht="19.95" customHeight="1">
      <c r="A77" s="990"/>
      <c r="C77" s="1639"/>
      <c s="1641"/>
      <c s="549" t="str">
        <f>FHD_NUM_P_39</f>
        <v>4.1.1</v>
      </c>
      <c s="1653" t="str">
        <f>FHD_P_39</f>
        <v>Изменение стоимости основных фондов за счет их ввода в эксплуатацию</v>
      </c>
      <c s="2075" t="s">
        <v>552</v>
      </c>
      <c s="560"/>
      <c s="560"/>
      <c s="292" t="str">
        <f>FHD_NOTE_P_39</f>
        <v>Указываются изменение стоимости основных фондов за счет их ввода в эксплуатацию.</v>
      </c>
      <c s="546"/>
      <c s="1639"/>
      <c s="1639"/>
      <c r="R77" s="1639"/>
      <c r="U77" s="547"/>
      <c r="AA77" s="1635"/>
      <c s="1635"/>
      <c s="1635"/>
      <c s="1635"/>
      <c s="1635"/>
      <c s="1163">
        <v>19</v>
      </c>
    </row>
    <row r="78" spans="1:32" s="1369" customFormat="1" ht="19.95" customHeight="1">
      <c r="A78" s="990"/>
      <c r="C78" s="1639"/>
      <c s="1641"/>
      <c s="549" t="str">
        <f>FHD_NUM_P_40</f>
        <v>4.1.2</v>
      </c>
      <c s="2079" t="str">
        <f>FHD_P_40</f>
        <v>Изменение стоимости основных фондов за счет их вывода в эксплуатацию</v>
      </c>
      <c s="2074" t="s">
        <v>552</v>
      </c>
      <c s="979"/>
      <c s="560"/>
      <c s="292" t="str">
        <f>FHD_NOTE_P_40</f>
        <v>Указываются изменение стоимости основных фондов за счет их вывода из эксплуатации.</v>
      </c>
      <c s="546"/>
      <c s="1639"/>
      <c s="1639"/>
      <c r="R78" s="1639"/>
      <c r="U78" s="547"/>
      <c r="AA78" s="1635"/>
      <c s="1635"/>
      <c s="1635"/>
      <c s="1635"/>
      <c s="1635"/>
      <c s="1163">
        <v>19</v>
      </c>
    </row>
    <row r="79" spans="1:32" s="1369" customFormat="1" ht="19.95" customHeight="1">
      <c r="A79" s="990"/>
      <c r="C79" s="1639"/>
      <c s="1641"/>
      <c s="549" t="str">
        <f>FHD_NUM_P_41</f>
        <v>4.2</v>
      </c>
      <c s="2078" t="str">
        <f>FHD_P_41</f>
        <v>Изменение стоимости основных фондов за счет их переоценки</v>
      </c>
      <c s="2074" t="s">
        <v>552</v>
      </c>
      <c s="979"/>
      <c s="560"/>
      <c s="292" t="str">
        <f>FHD_NOTE_P_41</f>
        <v/>
      </c>
      <c s="546"/>
      <c s="1639"/>
      <c s="1639"/>
      <c r="R79" s="1639"/>
      <c r="U79" s="547"/>
      <c r="AA79" s="1635"/>
      <c s="1635"/>
      <c s="1635"/>
      <c s="1635"/>
      <c s="1635"/>
      <c s="1163">
        <v>19</v>
      </c>
    </row>
    <row r="80" spans="1:32" s="1369" customFormat="1" ht="19.95" customHeight="1">
      <c r="A80" s="992" t="s">
        <v>579</v>
      </c>
      <c r="C80" s="1639"/>
      <c s="1641"/>
      <c s="549" t="str">
        <f>FHD_NUM_P_42</f>
        <v>5</v>
      </c>
      <c s="2076" t="str">
        <f>FHD_P_42</f>
        <v>Валовая прибыль (убытки) от продажи товаров и услуг по регулируемым видам деятельности в сфере водоотведения</v>
      </c>
      <c s="2074" t="s">
        <v>552</v>
      </c>
      <c s="979"/>
      <c s="560"/>
      <c s="292" t="str">
        <f>FHD_NOTE_P_42</f>
        <v/>
      </c>
      <c s="546"/>
      <c s="1639"/>
      <c s="1639"/>
      <c r="R80" s="1639"/>
      <c r="U80" s="547"/>
      <c r="AA80" s="1635"/>
      <c s="1635"/>
      <c s="1635"/>
      <c s="1635"/>
      <c s="1635"/>
      <c s="1163">
        <v>19</v>
      </c>
    </row>
    <row r="81" spans="1:32" s="1369" customFormat="1" ht="19.95" customHeight="1">
      <c r="A81" s="990"/>
      <c r="C81" s="1639"/>
      <c s="1641"/>
      <c s="549" t="str">
        <f>FHD_NUM_P_43</f>
        <v>6</v>
      </c>
      <c s="1883" t="str">
        <f>FHD_P_43</f>
        <v>Годовая бухгалтерская (финансовая) отчетность, включая бухгалтерский баланс и приложения к нему</v>
      </c>
      <c s="2077" t="s">
        <v>306</v>
      </c>
      <c s="1058"/>
      <c s="821"/>
      <c s="292" t="str">
        <f>FHD_NOTE_P_43</f>
        <v>Указывается ссылка на документ, предварительно загруженный в хранилище файлов ФГИС ЕИАС.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v>
      </c>
      <c s="546"/>
      <c s="1639"/>
      <c s="1639"/>
      <c r="R81" s="1639"/>
      <c r="U81" s="547"/>
      <c r="AA81" s="1635"/>
      <c s="1635"/>
      <c s="1635"/>
      <c s="1635"/>
      <c s="1635"/>
      <c s="1163">
        <v>19</v>
      </c>
    </row>
    <row r="82" spans="1:32" s="1369" customFormat="1" ht="18.75" customHeight="1" hidden="1">
      <c r="A82" s="2374" t="s">
        <v>580</v>
      </c>
      <c r="C82" s="738"/>
      <c s="736"/>
      <c s="549" t="str">
        <f>FHD_NUM_P_44</f>
        <v/>
      </c>
      <c s="1883" t="str">
        <f>FHD_P_44</f>
        <v/>
      </c>
      <c s="1884" t="s">
        <v>581</v>
      </c>
      <c s="980"/>
      <c s="580"/>
      <c s="292" t="str">
        <f>FHD_NOTE_P_44</f>
        <v/>
      </c>
      <c s="737"/>
      <c s="738"/>
      <c s="738"/>
      <c r="R82" s="738"/>
      <c r="U82" s="739"/>
      <c r="AA82" s="740"/>
      <c s="740"/>
      <c s="740"/>
      <c s="740"/>
      <c s="740"/>
      <c s="913">
        <v>0</v>
      </c>
    </row>
    <row r="83" spans="1:32" s="1369" customFormat="1" ht="18.75" customHeight="1" hidden="1">
      <c r="A83" s="2374"/>
      <c r="C83" s="738"/>
      <c s="736"/>
      <c s="549" t="str">
        <f>FHD_NUM_P_45</f>
        <v/>
      </c>
      <c s="1883" t="str">
        <f>FHD_P_45</f>
        <v/>
      </c>
      <c s="1884" t="s">
        <v>581</v>
      </c>
      <c s="980"/>
      <c s="580"/>
      <c s="292" t="str">
        <f>FHD_NOTE_P_45</f>
        <v/>
      </c>
      <c s="737"/>
      <c s="738"/>
      <c s="738"/>
      <c r="R83" s="738"/>
      <c r="U83" s="739"/>
      <c r="AA83" s="740"/>
      <c s="740"/>
      <c s="740"/>
      <c s="740"/>
      <c s="740"/>
      <c s="913">
        <v>0</v>
      </c>
    </row>
    <row r="84" spans="1:32" s="1369" customFormat="1" ht="18.75" customHeight="1" hidden="1">
      <c r="A84" s="2374"/>
      <c r="C84" s="738"/>
      <c s="741"/>
      <c s="549" t="str">
        <f>FHD_NUM_P_46</f>
        <v/>
      </c>
      <c s="1883" t="str">
        <f>FHD_P_46</f>
        <v/>
      </c>
      <c s="1884" t="s">
        <v>581</v>
      </c>
      <c s="980"/>
      <c s="580"/>
      <c s="292" t="str">
        <f>FHD_NOTE_P_46</f>
        <v/>
      </c>
      <c s="737"/>
      <c s="738"/>
      <c s="738"/>
      <c r="R84" s="738"/>
      <c r="U84" s="739"/>
      <c r="AA84" s="740"/>
      <c s="740"/>
      <c s="740"/>
      <c s="740"/>
      <c s="740"/>
      <c s="913">
        <v>0</v>
      </c>
    </row>
    <row r="85" spans="1:32" s="1369" customFormat="1" ht="18.75" customHeight="1" hidden="1">
      <c r="A85" s="2374"/>
      <c r="C85" s="738"/>
      <c s="736"/>
      <c s="549" t="str">
        <f>FHD_NUM_P_47</f>
        <v/>
      </c>
      <c s="1883" t="str">
        <f>FHD_P_47</f>
        <v/>
      </c>
      <c s="1884" t="s">
        <v>581</v>
      </c>
      <c s="980"/>
      <c s="580"/>
      <c s="292" t="str">
        <f>FHD_NOTE_P_47</f>
        <v/>
      </c>
      <c s="737"/>
      <c s="738"/>
      <c s="738"/>
      <c r="R85" s="738"/>
      <c r="U85" s="739"/>
      <c r="AA85" s="740"/>
      <c s="740"/>
      <c s="740"/>
      <c s="740"/>
      <c s="740"/>
      <c s="913">
        <v>0</v>
      </c>
    </row>
    <row r="86" spans="1:32" s="1638" customFormat="1" ht="18.75" customHeight="1" hidden="1">
      <c r="A86" s="2374"/>
      <c s="913"/>
      <c s="738"/>
      <c s="736"/>
      <c s="549" t="str">
        <f>FHD_NUM_P_48</f>
        <v/>
      </c>
      <c s="1883" t="str">
        <f>FHD_P_48</f>
        <v/>
      </c>
      <c s="1884" t="s">
        <v>581</v>
      </c>
      <c s="980"/>
      <c s="580"/>
      <c s="292" t="str">
        <f>FHD_NOTE_P_48</f>
        <v/>
      </c>
      <c s="737"/>
      <c s="738"/>
      <c s="738"/>
      <c s="913"/>
      <c s="913"/>
      <c s="913"/>
      <c s="913"/>
      <c s="738"/>
      <c s="913"/>
      <c s="913"/>
      <c s="739"/>
      <c s="913"/>
      <c s="913"/>
      <c s="913"/>
      <c s="913"/>
      <c s="913"/>
      <c s="740"/>
      <c s="740"/>
      <c s="740"/>
      <c s="740"/>
      <c s="740"/>
      <c s="742">
        <v>0</v>
      </c>
    </row>
    <row r="87" spans="1:32" s="1638" customFormat="1" ht="18.75" customHeight="1" hidden="1">
      <c r="A87" s="2374"/>
      <c s="913"/>
      <c s="738"/>
      <c s="736"/>
      <c s="549" t="str">
        <f>FHD_NUM_P_49</f>
        <v/>
      </c>
      <c s="1883" t="str">
        <f>FHD_P_49</f>
        <v/>
      </c>
      <c s="1884" t="s">
        <v>581</v>
      </c>
      <c s="981">
        <f>SUM(H88:H89)</f>
        <v>0</v>
      </c>
      <c s="752">
        <f>SUM(I88:I89)</f>
        <v>0</v>
      </c>
      <c s="292" t="str">
        <f>FHD_NOTE_P_49</f>
        <v/>
      </c>
      <c s="737"/>
      <c s="738"/>
      <c s="738"/>
      <c s="913"/>
      <c s="913"/>
      <c s="913"/>
      <c s="913"/>
      <c s="738"/>
      <c s="913"/>
      <c s="913"/>
      <c s="739"/>
      <c s="913"/>
      <c s="913"/>
      <c s="913"/>
      <c s="913"/>
      <c s="913"/>
      <c s="740"/>
      <c s="740"/>
      <c s="740"/>
      <c s="740"/>
      <c s="740"/>
      <c s="742">
        <v>0</v>
      </c>
    </row>
    <row r="88" spans="1:32" s="1638" customFormat="1" ht="18.75" customHeight="1" hidden="1">
      <c r="A88" s="2374"/>
      <c s="913"/>
      <c s="738"/>
      <c s="736"/>
      <c s="549" t="str">
        <f>FHD_NUM_P_50</f>
        <v/>
      </c>
      <c s="1883" t="str">
        <f>FHD_P_50</f>
        <v/>
      </c>
      <c s="1884" t="s">
        <v>581</v>
      </c>
      <c s="980"/>
      <c s="580"/>
      <c s="292" t="str">
        <f>FHD_NOTE_P_50</f>
        <v/>
      </c>
      <c s="737"/>
      <c s="738"/>
      <c s="738"/>
      <c s="913"/>
      <c s="913"/>
      <c s="913"/>
      <c s="913"/>
      <c s="738"/>
      <c s="913"/>
      <c s="913"/>
      <c s="739"/>
      <c s="913"/>
      <c s="913"/>
      <c s="913"/>
      <c s="913"/>
      <c s="913"/>
      <c s="740"/>
      <c s="740"/>
      <c s="740"/>
      <c s="740"/>
      <c s="740"/>
      <c s="742">
        <v>0</v>
      </c>
    </row>
    <row r="89" spans="1:32" s="1638" customFormat="1" ht="18.75" customHeight="1" hidden="1">
      <c r="A89" s="2374"/>
      <c s="913"/>
      <c s="738"/>
      <c s="736"/>
      <c s="549" t="str">
        <f>FHD_NUM_P_51</f>
        <v/>
      </c>
      <c s="1883" t="str">
        <f>FHD_P_51</f>
        <v/>
      </c>
      <c s="1884" t="s">
        <v>581</v>
      </c>
      <c s="980"/>
      <c s="580"/>
      <c s="292" t="str">
        <f>FHD_NOTE_P_51</f>
        <v/>
      </c>
      <c s="737"/>
      <c s="738"/>
      <c s="738"/>
      <c s="913"/>
      <c s="913"/>
      <c s="913"/>
      <c s="913"/>
      <c s="738"/>
      <c s="913"/>
      <c s="913"/>
      <c s="739"/>
      <c s="913"/>
      <c s="913"/>
      <c s="913"/>
      <c s="913"/>
      <c s="913"/>
      <c s="740"/>
      <c s="740"/>
      <c s="740"/>
      <c s="740"/>
      <c s="740"/>
      <c s="742">
        <v>0</v>
      </c>
    </row>
    <row r="90" spans="1:32" s="1638" customFormat="1" ht="18.75" customHeight="1" hidden="1">
      <c r="A90" s="2374"/>
      <c s="913"/>
      <c s="738"/>
      <c s="736"/>
      <c s="549" t="str">
        <f>FHD_NUM_P_52</f>
        <v/>
      </c>
      <c s="1883" t="str">
        <f>FHD_P_52</f>
        <v/>
      </c>
      <c s="1884" t="s">
        <v>558</v>
      </c>
      <c s="979"/>
      <c s="560"/>
      <c s="292" t="str">
        <f>FHD_NOTE_P_52</f>
        <v/>
      </c>
      <c s="737"/>
      <c s="738"/>
      <c s="738"/>
      <c s="913"/>
      <c s="913"/>
      <c s="913"/>
      <c s="913"/>
      <c s="738"/>
      <c s="913"/>
      <c s="913"/>
      <c s="739"/>
      <c s="913"/>
      <c s="913"/>
      <c s="913"/>
      <c s="913"/>
      <c s="913"/>
      <c s="740"/>
      <c s="740"/>
      <c s="740"/>
      <c s="740"/>
      <c s="740"/>
      <c s="742">
        <v>0</v>
      </c>
    </row>
    <row r="91" spans="1:32" s="1369" customFormat="1" ht="18.75" customHeight="1" hidden="1">
      <c r="A91" s="2376" t="s">
        <v>582</v>
      </c>
      <c r="C91" s="738"/>
      <c s="736"/>
      <c s="549" t="str">
        <f>FHD_NUM_P_53</f>
        <v/>
      </c>
      <c s="1883" t="str">
        <f>FHD_P_53</f>
        <v/>
      </c>
      <c s="1884" t="s">
        <v>581</v>
      </c>
      <c s="980"/>
      <c s="580"/>
      <c s="292" t="str">
        <f>FHD_NOTE_P_53</f>
        <v/>
      </c>
      <c s="737"/>
      <c s="738"/>
      <c s="738"/>
      <c r="R91" s="738"/>
      <c r="U91" s="739"/>
      <c r="AA91" s="740"/>
      <c s="740"/>
      <c s="740"/>
      <c s="740"/>
      <c s="740"/>
      <c s="913">
        <v>0</v>
      </c>
    </row>
    <row r="92" spans="1:32" s="1369" customFormat="1" ht="18.75" customHeight="1" hidden="1">
      <c r="A92" s="2376"/>
      <c r="C92" s="738"/>
      <c s="736"/>
      <c s="549" t="str">
        <f>FHD_NUM_P_54</f>
        <v/>
      </c>
      <c s="1883" t="str">
        <f>FHD_P_54</f>
        <v/>
      </c>
      <c s="1884" t="s">
        <v>581</v>
      </c>
      <c s="980"/>
      <c s="580"/>
      <c s="292" t="str">
        <f>FHD_NOTE_P_54</f>
        <v/>
      </c>
      <c s="737"/>
      <c s="738"/>
      <c s="738"/>
      <c r="R92" s="738"/>
      <c r="U92" s="739"/>
      <c r="AA92" s="740"/>
      <c s="740"/>
      <c s="740"/>
      <c s="740"/>
      <c s="740"/>
      <c s="913">
        <v>0</v>
      </c>
    </row>
    <row r="93" spans="1:32" s="1369" customFormat="1" ht="18.75" customHeight="1" hidden="1">
      <c r="A93" s="2376"/>
      <c r="C93" s="738"/>
      <c s="741"/>
      <c s="549" t="str">
        <f>FHD_NUM_P_55</f>
        <v/>
      </c>
      <c s="1883" t="str">
        <f>FHD_P_55</f>
        <v/>
      </c>
      <c s="1887"/>
      <c s="980"/>
      <c s="580"/>
      <c s="292" t="str">
        <f>FHD_NOTE_P_55</f>
        <v/>
      </c>
      <c s="737"/>
      <c s="738"/>
      <c s="738"/>
      <c r="R93" s="738"/>
      <c r="U93" s="739"/>
      <c r="AA93" s="740"/>
      <c s="740"/>
      <c s="740"/>
      <c s="740"/>
      <c s="740"/>
      <c s="913">
        <v>0</v>
      </c>
    </row>
    <row r="94" spans="1:32" s="1369" customFormat="1" ht="18.75" customHeight="1" hidden="1">
      <c r="A94" s="2376"/>
      <c r="C94" s="738"/>
      <c s="736"/>
      <c s="549" t="str">
        <f>FHD_NUM_P_56</f>
        <v/>
      </c>
      <c s="1883" t="str">
        <f>FHD_P_56</f>
        <v/>
      </c>
      <c s="1884" t="s">
        <v>583</v>
      </c>
      <c s="980"/>
      <c s="580"/>
      <c s="292" t="str">
        <f>FHD_NOTE_P_56</f>
        <v/>
      </c>
      <c s="737"/>
      <c s="738"/>
      <c s="738"/>
      <c r="R94" s="738"/>
      <c r="U94" s="739"/>
      <c r="AA94" s="740"/>
      <c s="740"/>
      <c s="740"/>
      <c s="740"/>
      <c s="740"/>
      <c s="913">
        <v>0</v>
      </c>
    </row>
    <row r="95" spans="1:32" s="1638" customFormat="1" ht="18.75" customHeight="1" hidden="1">
      <c r="A95" s="2376"/>
      <c s="913"/>
      <c s="738"/>
      <c s="736"/>
      <c s="549" t="str">
        <f>FHD_NUM_P_57</f>
        <v/>
      </c>
      <c s="1883" t="str">
        <f>FHD_P_57</f>
        <v/>
      </c>
      <c s="1884" t="s">
        <v>558</v>
      </c>
      <c s="979"/>
      <c s="560"/>
      <c s="292" t="str">
        <f>FHD_NOTE_P_57</f>
        <v/>
      </c>
      <c s="737"/>
      <c s="738"/>
      <c s="738"/>
      <c s="913"/>
      <c s="913"/>
      <c s="913"/>
      <c s="913"/>
      <c s="738"/>
      <c s="913"/>
      <c s="913"/>
      <c s="739"/>
      <c s="913"/>
      <c s="913"/>
      <c s="913"/>
      <c s="913"/>
      <c s="913"/>
      <c s="740"/>
      <c s="740"/>
      <c s="740"/>
      <c s="740"/>
      <c s="740"/>
      <c s="742">
        <v>0</v>
      </c>
    </row>
    <row r="96" spans="1:32" ht="18.75" customHeight="1">
      <c r="A96" s="2374" t="s">
        <v>584</v>
      </c>
      <c r="D96" s="1641"/>
      <c s="549" t="str">
        <f>FHD_NUM_P_58</f>
        <v>7</v>
      </c>
      <c s="1883" t="str">
        <f>FHD_P_58</f>
        <v>Объём сточных вод, принятых от потребителей</v>
      </c>
      <c s="1884" t="s">
        <v>581</v>
      </c>
      <c s="980"/>
      <c s="580"/>
      <c s="292" t="str">
        <f>FHD_NOTE_P_58</f>
        <v/>
      </c>
      <c s="546"/>
      <c r="AF96" s="1634">
        <v>0</v>
      </c>
    </row>
    <row r="97" spans="1:32" ht="18.75" customHeight="1">
      <c r="A97" s="2374"/>
      <c r="D97" s="1641"/>
      <c s="549" t="str">
        <f>FHD_NUM_P_59</f>
        <v>8</v>
      </c>
      <c s="1883" t="str">
        <f>FHD_P_59</f>
        <v>Объём сточных вод, принятых от других регулируемых организаций, осуществляющих водоотведение и (или) очистку сточных вод</v>
      </c>
      <c s="1884" t="s">
        <v>581</v>
      </c>
      <c s="980"/>
      <c s="580"/>
      <c s="292" t="str">
        <f>FHD_NOTE_P_59</f>
        <v/>
      </c>
      <c s="546"/>
      <c r="AF97" s="1634">
        <v>0</v>
      </c>
    </row>
    <row r="98" spans="1:32" ht="18.75" customHeight="1">
      <c r="A98" s="2374"/>
      <c r="D98" s="1641"/>
      <c s="549" t="str">
        <f>FHD_NUM_P_60</f>
        <v>9</v>
      </c>
      <c s="1883" t="str">
        <f>FHD_P_60</f>
        <v>Объём сточных вод, пропущенных через очистные сооружения</v>
      </c>
      <c s="1884" t="s">
        <v>581</v>
      </c>
      <c s="980"/>
      <c s="580"/>
      <c s="292" t="str">
        <f>FHD_NOTE_P_60</f>
        <v/>
      </c>
      <c s="546"/>
      <c r="AF98" s="1634">
        <v>0</v>
      </c>
    </row>
    <row r="99" spans="1:32" s="1369" customFormat="1" ht="18.75" customHeight="1" hidden="1">
      <c r="A99" s="2374" t="s">
        <v>585</v>
      </c>
      <c r="C99" s="1639"/>
      <c s="1641"/>
      <c s="549" t="str">
        <f>FHD_NUM_P_61</f>
        <v/>
      </c>
      <c s="1883" t="str">
        <f>FHD_P_61</f>
        <v/>
      </c>
      <c s="1881" t="s">
        <v>556</v>
      </c>
      <c s="982"/>
      <c s="745"/>
      <c s="292" t="str">
        <f>FHD_NOTE_P_61</f>
        <v/>
      </c>
      <c s="546"/>
      <c s="1639"/>
      <c s="1639"/>
      <c r="R99" s="1639"/>
      <c r="U99" s="547"/>
      <c r="AA99" s="1635"/>
      <c s="1635"/>
      <c s="1635"/>
      <c s="1635"/>
      <c s="1635"/>
      <c s="1163">
        <v>0</v>
      </c>
    </row>
    <row r="100" spans="1:32" s="1645" customFormat="1" ht="0.75" customHeight="1" hidden="1">
      <c r="A100" s="2374"/>
      <c r="D100" s="551"/>
      <c s="1016" t="str">
        <f>E99&amp;".0"</f>
        <v>.0</v>
      </c>
      <c s="997"/>
      <c s="998"/>
      <c s="995"/>
      <c s="995"/>
      <c s="999"/>
      <c r="AF100" s="1639">
        <v>0</v>
      </c>
    </row>
    <row r="101" spans="1:32" ht="15" customHeight="1" hidden="1">
      <c r="A101" s="2374"/>
      <c r="D101" s="1636"/>
      <c s="974"/>
      <c s="975" t="s">
        <v>586</v>
      </c>
      <c s="575"/>
      <c s="576"/>
      <c s="576"/>
      <c s="1007" t="s">
        <v>587</v>
      </c>
      <c s="546"/>
      <c r="AF101" s="1634">
        <v>0</v>
      </c>
    </row>
    <row r="102" spans="1:32" s="1369" customFormat="1" ht="18.75" customHeight="1" hidden="1">
      <c r="A102" s="2374"/>
      <c r="C102" s="1639"/>
      <c s="1641"/>
      <c s="549" t="str">
        <f>FHD_NUM_P_62</f>
        <v/>
      </c>
      <c s="1883" t="str">
        <f>FHD_P_62</f>
        <v/>
      </c>
      <c s="1880" t="s">
        <v>556</v>
      </c>
      <c s="560"/>
      <c s="560"/>
      <c s="292" t="str">
        <f>FHD_NOTE_P_62</f>
        <v/>
      </c>
      <c s="546"/>
      <c s="1639"/>
      <c s="1639"/>
      <c r="R102" s="1639"/>
      <c r="U102" s="547"/>
      <c r="AA102" s="1635"/>
      <c s="1635"/>
      <c s="1635"/>
      <c s="1635"/>
      <c s="1635"/>
      <c s="1163">
        <v>0</v>
      </c>
    </row>
    <row r="103" spans="1:32" s="1369" customFormat="1" ht="18.75" customHeight="1" hidden="1">
      <c r="A103" s="2374"/>
      <c r="C103" s="1639"/>
      <c s="1641"/>
      <c s="549" t="str">
        <f>FHD_NUM_P_63</f>
        <v/>
      </c>
      <c s="1883" t="str">
        <f>FHD_P_63</f>
        <v/>
      </c>
      <c s="1880" t="s">
        <v>583</v>
      </c>
      <c s="580"/>
      <c s="580"/>
      <c s="292" t="str">
        <f>FHD_NOTE_P_63</f>
        <v/>
      </c>
      <c s="546"/>
      <c s="1639"/>
      <c s="1639"/>
      <c r="R103" s="1639"/>
      <c r="U103" s="547"/>
      <c r="AA103" s="1635"/>
      <c s="1635"/>
      <c s="1635"/>
      <c s="1635"/>
      <c s="1635"/>
      <c s="1163">
        <v>0</v>
      </c>
    </row>
    <row r="104" spans="1:32" s="1369" customFormat="1" ht="18.75" customHeight="1" hidden="1">
      <c r="A104" s="2374"/>
      <c r="C104" s="1639" t="s">
        <v>588</v>
      </c>
      <c s="1641"/>
      <c s="549" t="str">
        <f>FHD_NUM_P_64</f>
        <v/>
      </c>
      <c s="1883" t="str">
        <f>FHD_P_64</f>
        <v/>
      </c>
      <c s="1880" t="s">
        <v>583</v>
      </c>
      <c s="548"/>
      <c s="548"/>
      <c s="292" t="str">
        <f>FHD_NOTE_P_64</f>
        <v/>
      </c>
      <c s="546"/>
      <c s="1639"/>
      <c s="1639"/>
      <c r="R104" s="1639"/>
      <c r="U104" s="547"/>
      <c r="AA104" s="1635"/>
      <c s="1635"/>
      <c s="1635"/>
      <c s="1635"/>
      <c s="1635"/>
      <c s="1163">
        <v>0</v>
      </c>
    </row>
    <row r="105" spans="1:32" s="1369" customFormat="1" ht="18.75" customHeight="1" hidden="1">
      <c r="A105" s="2374"/>
      <c r="C105" s="1639"/>
      <c s="1641"/>
      <c s="549" t="str">
        <f>FHD_NUM_P_65</f>
        <v/>
      </c>
      <c s="1883" t="str">
        <f>FHD_P_65</f>
        <v/>
      </c>
      <c s="1880" t="s">
        <v>583</v>
      </c>
      <c s="580"/>
      <c s="580"/>
      <c s="292" t="str">
        <f>FHD_NOTE_P_65</f>
        <v/>
      </c>
      <c s="546"/>
      <c s="1639"/>
      <c s="1639"/>
      <c r="R105" s="1639"/>
      <c r="U105" s="547"/>
      <c r="AA105" s="1635"/>
      <c s="1635"/>
      <c s="1635"/>
      <c s="1635"/>
      <c s="1635"/>
      <c s="1163">
        <v>0</v>
      </c>
    </row>
    <row r="106" spans="1:32" s="1369" customFormat="1" ht="18.75" customHeight="1" hidden="1">
      <c r="A106" s="2374"/>
      <c r="C106" s="1639"/>
      <c s="1641"/>
      <c s="549" t="str">
        <f>FHD_NUM_P_66</f>
        <v/>
      </c>
      <c s="1527" t="str">
        <f>FHD_P_66</f>
        <v/>
      </c>
      <c s="1880" t="s">
        <v>583</v>
      </c>
      <c s="580"/>
      <c s="580"/>
      <c s="292" t="str">
        <f>FHD_NOTE_P_66</f>
        <v/>
      </c>
      <c s="546"/>
      <c s="1639"/>
      <c s="1639"/>
      <c r="R106" s="1639"/>
      <c r="U106" s="547"/>
      <c r="AA106" s="1635"/>
      <c s="1635"/>
      <c s="1635"/>
      <c s="1635"/>
      <c s="1635"/>
      <c s="1163">
        <v>0</v>
      </c>
    </row>
    <row r="107" spans="1:32" s="1369" customFormat="1" ht="18.75" customHeight="1" hidden="1">
      <c r="A107" s="2374"/>
      <c r="C107" s="1639"/>
      <c s="1641"/>
      <c s="549" t="str">
        <f>FHD_NUM_P_67</f>
        <v/>
      </c>
      <c s="1653" t="str">
        <f>FHD_P_67</f>
        <v/>
      </c>
      <c s="1880" t="s">
        <v>583</v>
      </c>
      <c s="580"/>
      <c s="580"/>
      <c s="292" t="str">
        <f>FHD_NOTE_P_67</f>
        <v/>
      </c>
      <c s="546"/>
      <c s="1639"/>
      <c s="1639"/>
      <c r="R107" s="1639"/>
      <c r="U107" s="547"/>
      <c r="AA107" s="1635"/>
      <c s="1635"/>
      <c s="1635"/>
      <c s="1635"/>
      <c s="1635"/>
      <c s="1163">
        <v>0</v>
      </c>
    </row>
    <row r="108" spans="1:32" s="1369" customFormat="1" ht="18.75" customHeight="1" hidden="1">
      <c r="A108" s="2374"/>
      <c r="C108" s="1639"/>
      <c s="1641"/>
      <c s="549" t="str">
        <f>FHD_NUM_P_68</f>
        <v/>
      </c>
      <c s="1527" t="str">
        <f>FHD_P_68</f>
        <v/>
      </c>
      <c s="1880" t="s">
        <v>583</v>
      </c>
      <c s="580"/>
      <c s="580"/>
      <c s="292" t="str">
        <f>FHD_NOTE_P_68</f>
        <v/>
      </c>
      <c s="546"/>
      <c s="1639"/>
      <c s="1639"/>
      <c r="R108" s="1639"/>
      <c r="U108" s="547"/>
      <c r="AA108" s="1635"/>
      <c s="1635"/>
      <c s="1635"/>
      <c s="1635"/>
      <c s="1635"/>
      <c s="1163">
        <v>0</v>
      </c>
    </row>
    <row r="109" spans="1:32" s="1369" customFormat="1" ht="18.75" customHeight="1" hidden="1">
      <c r="A109" s="2374"/>
      <c r="C109" s="1639"/>
      <c s="1641"/>
      <c s="549" t="str">
        <f>FHD_NUM_P_69</f>
        <v/>
      </c>
      <c s="1527" t="str">
        <f>FHD_P_69</f>
        <v/>
      </c>
      <c s="1880" t="s">
        <v>583</v>
      </c>
      <c s="580"/>
      <c s="580"/>
      <c s="292" t="str">
        <f>FHD_NOTE_P_69</f>
        <v/>
      </c>
      <c s="546"/>
      <c s="1639"/>
      <c s="1639"/>
      <c r="R109" s="1639"/>
      <c r="U109" s="547"/>
      <c r="AA109" s="1635"/>
      <c s="1635"/>
      <c s="1635"/>
      <c s="1635"/>
      <c s="1635"/>
      <c s="1163">
        <v>0</v>
      </c>
    </row>
    <row r="110" spans="1:32" s="1369" customFormat="1" ht="22.5" customHeight="1" hidden="1">
      <c r="A110" s="2374"/>
      <c r="C110" s="1639"/>
      <c s="1641"/>
      <c s="549" t="str">
        <f>FHD_NUM_P_70</f>
        <v/>
      </c>
      <c s="1883" t="str">
        <f>FHD_P_70</f>
        <v/>
      </c>
      <c s="1880" t="s">
        <v>589</v>
      </c>
      <c s="560"/>
      <c s="560"/>
      <c s="292" t="str">
        <f>FHD_NOTE_P_70</f>
        <v/>
      </c>
      <c s="546"/>
      <c s="1639"/>
      <c s="1639"/>
      <c r="R110" s="1639"/>
      <c r="U110" s="547"/>
      <c r="AA110" s="1635"/>
      <c s="1635"/>
      <c s="1635"/>
      <c s="1635"/>
      <c s="1635"/>
      <c s="1163">
        <v>0</v>
      </c>
    </row>
    <row r="111" spans="1:32" s="1369" customFormat="1" ht="22.5" customHeight="1" hidden="1">
      <c r="A111" s="2374"/>
      <c r="C111" s="1639"/>
      <c s="1641"/>
      <c s="549" t="str">
        <f>FHD_NUM_P_71</f>
        <v/>
      </c>
      <c s="1883" t="str">
        <f>FHD_P_71</f>
        <v/>
      </c>
      <c s="1880" t="s">
        <v>589</v>
      </c>
      <c s="560"/>
      <c s="560"/>
      <c s="292" t="str">
        <f>FHD_NOTE_P_71</f>
        <v/>
      </c>
      <c s="546"/>
      <c s="1639"/>
      <c s="1639"/>
      <c r="R111" s="1639"/>
      <c r="U111" s="547"/>
      <c r="AA111" s="1635"/>
      <c s="1635"/>
      <c s="1635"/>
      <c s="1635"/>
      <c s="1635"/>
      <c s="1163">
        <v>0</v>
      </c>
    </row>
    <row r="112" spans="4:32" ht="19.95" customHeight="1">
      <c r="D112" s="1641"/>
      <c s="549" t="str">
        <f>FHD_NUM_P_72</f>
        <v>10</v>
      </c>
      <c s="1883" t="str">
        <f>FHD_P_72</f>
        <v>Среднесписочная численность основного производственного персонала</v>
      </c>
      <c s="1879" t="s">
        <v>590</v>
      </c>
      <c s="580"/>
      <c s="580"/>
      <c s="292" t="str">
        <f>FHD_NOTE_P_72</f>
        <v/>
      </c>
      <c s="546"/>
      <c r="AF112" s="1634">
        <v>19</v>
      </c>
    </row>
    <row r="113" spans="1:32" ht="18.75" customHeight="1" hidden="1">
      <c r="A113" s="992" t="s">
        <v>591</v>
      </c>
      <c r="D113" s="1641"/>
      <c s="549" t="str">
        <f>FHD_NUM_P_73</f>
        <v/>
      </c>
      <c s="1883" t="str">
        <f>FHD_P_73</f>
        <v/>
      </c>
      <c s="973" t="s">
        <v>590</v>
      </c>
      <c s="971"/>
      <c s="971"/>
      <c s="292" t="str">
        <f>FHD_NOTE_P_73</f>
        <v/>
      </c>
      <c s="546"/>
      <c r="AF113" s="1634">
        <v>0</v>
      </c>
    </row>
    <row r="114" spans="1:32" ht="33.75" customHeight="1" hidden="1">
      <c r="A114" s="992" t="s">
        <v>592</v>
      </c>
      <c r="D114" s="1641"/>
      <c s="549" t="str">
        <f>FHD_NUM_P_74</f>
        <v/>
      </c>
      <c s="1883" t="str">
        <f>FHD_P_74</f>
        <v/>
      </c>
      <c s="1879" t="s">
        <v>593</v>
      </c>
      <c s="580"/>
      <c s="580"/>
      <c s="292" t="str">
        <f>FHD_NOTE_P_74</f>
        <v/>
      </c>
      <c s="546"/>
      <c r="AF114" s="1634">
        <v>0</v>
      </c>
    </row>
    <row r="115" spans="1:32" s="1638" customFormat="1" ht="18.75" customHeight="1" hidden="1">
      <c r="A115" s="2376" t="s">
        <v>594</v>
      </c>
      <c s="913"/>
      <c s="738"/>
      <c s="736"/>
      <c s="549" t="str">
        <f>FHD_NUM_P_75</f>
        <v/>
      </c>
      <c s="1883" t="str">
        <f>FHD_P_75</f>
        <v/>
      </c>
      <c s="1879" t="s">
        <v>558</v>
      </c>
      <c s="560"/>
      <c s="560"/>
      <c s="292" t="str">
        <f>FHD_NOTE_P_75</f>
        <v/>
      </c>
      <c s="737"/>
      <c s="738"/>
      <c s="738"/>
      <c s="913"/>
      <c s="913"/>
      <c s="913"/>
      <c s="913"/>
      <c s="738"/>
      <c s="913"/>
      <c s="913"/>
      <c s="739"/>
      <c s="913"/>
      <c s="913"/>
      <c s="913"/>
      <c s="913"/>
      <c s="913"/>
      <c s="740"/>
      <c s="740"/>
      <c s="740"/>
      <c s="740"/>
      <c s="740"/>
      <c s="742">
        <v>0</v>
      </c>
    </row>
    <row r="116" spans="1:32" s="1638" customFormat="1" ht="18.75" customHeight="1" hidden="1">
      <c r="A116" s="2376"/>
      <c s="913"/>
      <c s="738"/>
      <c s="736"/>
      <c s="549" t="str">
        <f>FHD_NUM_P_76</f>
        <v/>
      </c>
      <c s="1883" t="str">
        <f>FHD_P_76</f>
        <v/>
      </c>
      <c s="1879" t="s">
        <v>558</v>
      </c>
      <c s="560"/>
      <c s="560"/>
      <c s="292" t="str">
        <f>FHD_NOTE_P_76</f>
        <v/>
      </c>
      <c s="737"/>
      <c s="738"/>
      <c s="738"/>
      <c s="913"/>
      <c s="913"/>
      <c s="913"/>
      <c s="913"/>
      <c s="738"/>
      <c s="913"/>
      <c s="913"/>
      <c s="739"/>
      <c s="913"/>
      <c s="913"/>
      <c s="913"/>
      <c s="913"/>
      <c s="913"/>
      <c s="740"/>
      <c s="740"/>
      <c s="740"/>
      <c s="740"/>
      <c s="740"/>
      <c s="742">
        <v>0</v>
      </c>
    </row>
    <row r="117" spans="1:32" s="1638" customFormat="1" ht="18.75" customHeight="1" hidden="1">
      <c r="A117" s="2376"/>
      <c s="913"/>
      <c s="738"/>
      <c s="736"/>
      <c s="549" t="str">
        <f>FHD_NUM_P_77</f>
        <v/>
      </c>
      <c s="1883" t="str">
        <f>FHD_P_77</f>
        <v/>
      </c>
      <c s="1879" t="s">
        <v>558</v>
      </c>
      <c s="560"/>
      <c s="560"/>
      <c s="292" t="str">
        <f>FHD_NOTE_P_77</f>
        <v/>
      </c>
      <c s="737"/>
      <c s="738"/>
      <c s="738"/>
      <c s="913"/>
      <c s="913"/>
      <c s="913"/>
      <c s="913"/>
      <c s="738"/>
      <c s="913"/>
      <c s="913"/>
      <c s="739"/>
      <c s="913"/>
      <c s="913"/>
      <c s="913"/>
      <c s="913"/>
      <c s="913"/>
      <c s="740"/>
      <c s="740"/>
      <c s="740"/>
      <c s="740"/>
      <c s="740"/>
      <c s="742">
        <v>0</v>
      </c>
    </row>
    <row r="118" spans="1:32" s="1645" customFormat="1" ht="0.75" customHeight="1" hidden="1">
      <c r="A118" s="2376"/>
      <c r="D118" s="551"/>
      <c s="1016" t="str">
        <f>E117&amp;".0"</f>
        <v>.0</v>
      </c>
      <c s="1000"/>
      <c s="1654"/>
      <c s="995"/>
      <c s="995"/>
      <c s="999"/>
      <c r="AF118" s="1639">
        <v>0</v>
      </c>
    </row>
    <row r="119" spans="1:32" s="1638" customFormat="1" ht="15" customHeight="1" hidden="1">
      <c r="A119" s="2376"/>
      <c s="913"/>
      <c s="738"/>
      <c s="749"/>
      <c s="976"/>
      <c s="977" t="s">
        <v>595</v>
      </c>
      <c s="750"/>
      <c s="751"/>
      <c s="751"/>
      <c s="1006" t="s">
        <v>596</v>
      </c>
      <c s="737"/>
      <c s="738"/>
      <c s="738"/>
      <c s="913"/>
      <c s="913"/>
      <c s="913"/>
      <c s="913"/>
      <c s="738"/>
      <c s="913"/>
      <c s="913"/>
      <c s="739"/>
      <c s="913"/>
      <c s="913"/>
      <c s="913"/>
      <c s="913"/>
      <c s="913"/>
      <c s="740"/>
      <c s="740"/>
      <c s="740"/>
      <c s="740"/>
      <c s="740"/>
      <c s="742">
        <v>0</v>
      </c>
    </row>
    <row r="120" spans="1:32" ht="22.5" customHeight="1" hidden="1">
      <c r="A120" s="2374" t="s">
        <v>597</v>
      </c>
      <c r="D120" s="1641"/>
      <c s="549" t="str">
        <f>FHD_NUM_P_78</f>
        <v/>
      </c>
      <c s="1883" t="str">
        <f>FHD_P_78</f>
        <v/>
      </c>
      <c s="1880" t="s">
        <v>560</v>
      </c>
      <c s="580"/>
      <c s="580"/>
      <c s="292" t="str">
        <f>FHD_NOTE_P_78</f>
        <v/>
      </c>
      <c s="546"/>
      <c r="AF120" s="1634">
        <v>0</v>
      </c>
    </row>
    <row r="121" spans="1:32" s="1645" customFormat="1" ht="0.75" customHeight="1" hidden="1">
      <c r="A121" s="2374"/>
      <c r="D121" s="551"/>
      <c s="1016" t="str">
        <f>E120&amp;".0"</f>
        <v>.0</v>
      </c>
      <c s="1000"/>
      <c s="1654"/>
      <c s="995"/>
      <c s="995"/>
      <c s="999"/>
      <c r="AF121" s="1639">
        <v>0</v>
      </c>
    </row>
    <row r="122" spans="1:32" ht="15" customHeight="1" hidden="1">
      <c r="A122" s="2374"/>
      <c r="D122" s="1636"/>
      <c s="573"/>
      <c s="1171" t="s">
        <v>586</v>
      </c>
      <c s="575"/>
      <c s="576"/>
      <c s="576"/>
      <c s="1007" t="s">
        <v>598</v>
      </c>
      <c s="546"/>
      <c r="AF122" s="1634">
        <v>0</v>
      </c>
    </row>
    <row r="123" spans="1:32" ht="22.5" customHeight="1" hidden="1">
      <c r="A123" s="2374"/>
      <c r="D123" s="1641"/>
      <c s="549" t="str">
        <f>FHD_NUM_P_79</f>
        <v/>
      </c>
      <c s="1883" t="str">
        <f>FHD_P_79</f>
        <v/>
      </c>
      <c s="1881" t="s">
        <v>562</v>
      </c>
      <c s="580"/>
      <c s="580"/>
      <c s="292" t="str">
        <f>FHD_NOTE_P_79</f>
        <v/>
      </c>
      <c s="546"/>
      <c r="AF123" s="1634">
        <v>0</v>
      </c>
    </row>
    <row r="124" spans="1:32" s="1645" customFormat="1" ht="0.75" customHeight="1" hidden="1">
      <c r="A124" s="2374"/>
      <c r="D124" s="551"/>
      <c s="1016" t="str">
        <f>E123&amp;".0"</f>
        <v>.0</v>
      </c>
      <c s="1001"/>
      <c s="1654"/>
      <c s="995"/>
      <c s="995"/>
      <c s="999"/>
      <c r="AF124" s="1639">
        <v>0</v>
      </c>
    </row>
    <row r="125" spans="1:32" ht="15" customHeight="1" hidden="1">
      <c r="A125" s="2374"/>
      <c r="D125" s="1636"/>
      <c s="573"/>
      <c s="1171" t="s">
        <v>586</v>
      </c>
      <c s="575"/>
      <c s="576"/>
      <c s="576"/>
      <c s="1007" t="s">
        <v>599</v>
      </c>
      <c s="546"/>
      <c r="AF125" s="1634">
        <v>0</v>
      </c>
    </row>
    <row r="126" spans="1:32" ht="22.5" customHeight="1" hidden="1">
      <c r="A126" s="2374"/>
      <c r="D126" s="1641"/>
      <c s="549" t="str">
        <f>FHD_NUM_P_80</f>
        <v/>
      </c>
      <c s="1883" t="str">
        <f>FHD_P_80</f>
        <v/>
      </c>
      <c s="1881" t="s">
        <v>600</v>
      </c>
      <c s="560"/>
      <c s="560"/>
      <c s="292" t="str">
        <f>FHD_NOTE_P_80</f>
        <v/>
      </c>
      <c s="546"/>
      <c r="AF126" s="1634">
        <v>0</v>
      </c>
    </row>
    <row r="127" spans="1:32" ht="18.75" customHeight="1" hidden="1">
      <c r="A127" s="2374"/>
      <c r="D127" s="1641"/>
      <c s="549" t="str">
        <f>FHD_NUM_P_81</f>
        <v/>
      </c>
      <c s="1883" t="str">
        <f>FHD_P_81</f>
        <v/>
      </c>
      <c s="1881" t="s">
        <v>601</v>
      </c>
      <c s="560"/>
      <c s="560"/>
      <c s="292" t="str">
        <f>FHD_NOTE_P_81</f>
        <v/>
      </c>
      <c s="546"/>
      <c r="AF127" s="1634">
        <v>0</v>
      </c>
    </row>
    <row r="128" spans="1:32" ht="18.75" customHeight="1" hidden="1">
      <c r="A128" s="2374"/>
      <c r="C128" s="1639" t="s">
        <v>588</v>
      </c>
      <c s="1641"/>
      <c s="549" t="str">
        <f>FHD_NUM_P_82</f>
        <v/>
      </c>
      <c s="1883" t="str">
        <f>FHD_P_82</f>
        <v/>
      </c>
      <c s="1881" t="s">
        <v>306</v>
      </c>
      <c s="404"/>
      <c s="404"/>
      <c s="292" t="str">
        <f>FHD_NOTE_P_82</f>
        <v/>
      </c>
      <c s="546"/>
      <c r="AF128" s="1634">
        <v>0</v>
      </c>
    </row>
    <row r="129" spans="1:32" ht="18.75" customHeight="1" hidden="1">
      <c r="A129" s="2374"/>
      <c r="C129" s="1639" t="s">
        <v>588</v>
      </c>
      <c s="1641"/>
      <c s="549" t="str">
        <f>FHD_NUM_P_83</f>
        <v/>
      </c>
      <c s="1527" t="str">
        <f>FHD_P_83</f>
        <v/>
      </c>
      <c s="1881" t="s">
        <v>306</v>
      </c>
      <c s="404"/>
      <c s="404"/>
      <c s="292" t="str">
        <f>FHD_NOTE_P_83</f>
        <v/>
      </c>
      <c s="546"/>
      <c r="AF129" s="1634">
        <v>0</v>
      </c>
    </row>
    <row r="130" spans="1:32" ht="18.75" customHeight="1" hidden="1">
      <c r="A130" s="2374"/>
      <c r="C130" s="1639" t="s">
        <v>588</v>
      </c>
      <c s="1641"/>
      <c s="549" t="str">
        <f>FHD_NUM_P_84</f>
        <v/>
      </c>
      <c s="1527" t="str">
        <f>FHD_P_84</f>
        <v/>
      </c>
      <c s="1881" t="s">
        <v>306</v>
      </c>
      <c s="404"/>
      <c s="404"/>
      <c s="292" t="str">
        <f>FHD_NOTE_P_84</f>
        <v/>
      </c>
      <c s="546"/>
      <c r="AF130" s="1634">
        <v>0</v>
      </c>
    </row>
    <row r="131" spans="4:32" ht="11.55" customHeight="1">
      <c r="D131" s="1641"/>
      <c r="AF131" s="1634">
        <v>11</v>
      </c>
    </row>
    <row r="132" spans="4:32" ht="13.5" customHeight="1">
      <c r="D132" s="1641"/>
      <c s="339"/>
      <c s="372"/>
      <c s="372"/>
      <c s="372"/>
      <c s="1650"/>
      <c s="584"/>
      <c r="AF132" s="1634">
        <v>13</v>
      </c>
    </row>
    <row r="133" spans="1:32" s="1644" customFormat="1" ht="11.55" customHeight="1">
      <c r="A133" s="990"/>
      <c s="1639"/>
      <c s="1639"/>
      <c s="354"/>
      <c r="F133" s="1643"/>
      <c s="1634"/>
      <c s="1634"/>
      <c s="1634"/>
      <c r="K133" s="1163"/>
      <c s="1639"/>
      <c s="1639"/>
      <c s="1163"/>
      <c s="1163"/>
      <c s="1163"/>
      <c s="1163"/>
      <c s="1639"/>
      <c s="1163"/>
      <c s="1163"/>
      <c s="547"/>
      <c s="1163"/>
      <c s="1163"/>
      <c s="1163"/>
      <c s="1163"/>
      <c s="1163"/>
      <c s="1635"/>
      <c s="569"/>
      <c s="569"/>
      <c s="569"/>
      <c s="569"/>
      <c s="1644">
        <v>11</v>
      </c>
    </row>
    <row r="134" spans="1:32" s="1644" customFormat="1" ht="11.55" customHeight="1">
      <c r="A134" s="990"/>
      <c s="1639"/>
      <c s="1639"/>
      <c s="354"/>
      <c r="K134" s="1163"/>
      <c s="1639"/>
      <c s="1639"/>
      <c s="1163"/>
      <c s="1163"/>
      <c s="1163"/>
      <c s="1163"/>
      <c s="1639"/>
      <c s="1163"/>
      <c s="1163"/>
      <c s="547"/>
      <c s="1163"/>
      <c s="1163"/>
      <c s="1163"/>
      <c s="1163"/>
      <c s="1163"/>
      <c s="1635"/>
      <c s="569"/>
      <c s="569"/>
      <c s="569"/>
      <c s="569"/>
      <c s="1644">
        <v>11</v>
      </c>
    </row>
    <row r="135" spans="1:32" s="1644" customFormat="1" ht="11.55" customHeight="1">
      <c r="A135" s="990"/>
      <c s="1639"/>
      <c s="1639"/>
      <c s="354"/>
      <c r="K135" s="1163"/>
      <c s="1639"/>
      <c s="1639"/>
      <c s="1163"/>
      <c s="1163"/>
      <c s="1163"/>
      <c s="1163"/>
      <c s="1639"/>
      <c s="1163"/>
      <c s="1163"/>
      <c s="547"/>
      <c s="1163"/>
      <c s="1163"/>
      <c s="1163"/>
      <c s="1163"/>
      <c s="1163"/>
      <c s="1635"/>
      <c s="569"/>
      <c s="569"/>
      <c s="569"/>
      <c s="569"/>
      <c s="1644">
        <v>11</v>
      </c>
    </row>
    <row r="136" spans="1:32" s="1644" customFormat="1" ht="11.55" customHeight="1">
      <c r="A136" s="990"/>
      <c s="1639"/>
      <c s="1639"/>
      <c s="354"/>
      <c r="H136" s="569" t="str">
        <f>IF(H30-H31&lt;&gt;H72,"WARNING","")</f>
        <v/>
      </c>
      <c s="569" t="str">
        <f>IF(I30-I31&lt;&gt;I72,"WARNING","")</f>
        <v/>
      </c>
      <c r="K136" s="1163"/>
      <c s="1639"/>
      <c s="1639"/>
      <c s="1163"/>
      <c s="1163"/>
      <c s="1163"/>
      <c s="1163"/>
      <c s="1639"/>
      <c s="1163"/>
      <c s="1163"/>
      <c s="547"/>
      <c s="1163"/>
      <c s="1163"/>
      <c s="1163"/>
      <c s="1163"/>
      <c s="1163"/>
      <c s="1635"/>
      <c s="569"/>
      <c s="569"/>
      <c s="569"/>
      <c s="569"/>
      <c s="1644">
        <v>11</v>
      </c>
    </row>
    <row r="137" spans="1:32" s="1644" customFormat="1" ht="11.55" customHeight="1">
      <c r="A137" s="990"/>
      <c s="1639"/>
      <c s="1639"/>
      <c s="354"/>
      <c r="K137" s="1163"/>
      <c s="1639"/>
      <c s="1639"/>
      <c s="1163"/>
      <c s="1163"/>
      <c s="1163"/>
      <c s="1163"/>
      <c s="1639"/>
      <c s="1163"/>
      <c s="1163"/>
      <c s="547"/>
      <c s="1163"/>
      <c s="1163"/>
      <c s="1163"/>
      <c s="1163"/>
      <c s="1163"/>
      <c s="1635"/>
      <c s="569"/>
      <c s="569"/>
      <c s="569"/>
      <c s="569"/>
      <c s="1644">
        <v>11</v>
      </c>
    </row>
    <row r="138" spans="1:32" s="1644" customFormat="1" ht="11.55" customHeight="1">
      <c r="A138" s="990"/>
      <c s="1639"/>
      <c s="1639"/>
      <c s="354"/>
      <c r="K138" s="1163"/>
      <c s="1639"/>
      <c s="1639"/>
      <c s="1163"/>
      <c s="1163"/>
      <c s="1163"/>
      <c s="1163"/>
      <c s="1639"/>
      <c s="1163"/>
      <c s="1163"/>
      <c s="547"/>
      <c s="1163"/>
      <c s="1163"/>
      <c s="1163"/>
      <c s="1163"/>
      <c s="1163"/>
      <c s="1635"/>
      <c s="569"/>
      <c s="569"/>
      <c s="569"/>
      <c s="569"/>
      <c s="1644">
        <v>11</v>
      </c>
    </row>
    <row r="139" spans="1:32" s="1644" customFormat="1" ht="11.55" customHeight="1">
      <c r="A139" s="990"/>
      <c s="1639"/>
      <c s="1639"/>
      <c s="354"/>
      <c r="K139" s="1163"/>
      <c s="1639"/>
      <c s="1639"/>
      <c s="1163"/>
      <c s="1163"/>
      <c s="1163"/>
      <c s="1163"/>
      <c s="1639"/>
      <c s="1163"/>
      <c s="1163"/>
      <c s="547"/>
      <c s="1163"/>
      <c s="1163"/>
      <c s="1163"/>
      <c s="1163"/>
      <c s="1163"/>
      <c s="1635"/>
      <c s="569"/>
      <c s="569"/>
      <c s="569"/>
      <c s="569"/>
      <c s="1644">
        <v>11</v>
      </c>
    </row>
    <row r="140" spans="1:32" s="1644" customFormat="1" ht="11.55" customHeight="1">
      <c r="A140" s="990"/>
      <c s="1639"/>
      <c s="1639"/>
      <c s="354"/>
      <c r="K140" s="1163"/>
      <c s="1639"/>
      <c s="1639"/>
      <c s="1163"/>
      <c s="1163"/>
      <c s="1163"/>
      <c s="1163"/>
      <c s="1639"/>
      <c s="1163"/>
      <c s="1163"/>
      <c s="547"/>
      <c s="1163"/>
      <c s="1163"/>
      <c s="1163"/>
      <c s="1163"/>
      <c s="1163"/>
      <c s="1635"/>
      <c s="569"/>
      <c s="569"/>
      <c s="569"/>
      <c s="569"/>
      <c s="1644">
        <v>11</v>
      </c>
    </row>
    <row r="141" spans="1:32" s="1644" customFormat="1" ht="11.55" customHeight="1">
      <c r="A141" s="990"/>
      <c s="1639"/>
      <c s="1639"/>
      <c s="354"/>
      <c r="K141" s="1163"/>
      <c s="1639"/>
      <c s="1639"/>
      <c s="1163"/>
      <c s="1163"/>
      <c s="1163"/>
      <c s="1163"/>
      <c s="1639"/>
      <c s="1163"/>
      <c s="1163"/>
      <c s="547"/>
      <c s="1163"/>
      <c s="1163"/>
      <c s="1163"/>
      <c s="1163"/>
      <c s="1163"/>
      <c s="1635"/>
      <c s="569"/>
      <c s="569"/>
      <c s="569"/>
      <c s="569"/>
      <c s="1644">
        <v>11</v>
      </c>
    </row>
    <row r="142" spans="1:32" s="1644" customFormat="1" ht="11.55" customHeight="1">
      <c r="A142" s="990"/>
      <c s="1639"/>
      <c s="1639"/>
      <c s="354"/>
      <c r="K142" s="1163"/>
      <c s="1639"/>
      <c s="1639"/>
      <c s="1163"/>
      <c s="1163"/>
      <c s="1163"/>
      <c s="1163"/>
      <c s="1639"/>
      <c s="1163"/>
      <c s="1163"/>
      <c s="547"/>
      <c s="1163"/>
      <c s="1163"/>
      <c s="1163"/>
      <c s="1163"/>
      <c s="1163"/>
      <c s="1635"/>
      <c s="569"/>
      <c s="569"/>
      <c s="569"/>
      <c s="569"/>
      <c s="1644">
        <v>11</v>
      </c>
    </row>
    <row r="143" spans="1:32" s="1644" customFormat="1" ht="11.55" customHeight="1">
      <c r="A143" s="990"/>
      <c s="1639"/>
      <c s="1639"/>
      <c s="354"/>
      <c r="K143" s="1163"/>
      <c s="1639"/>
      <c s="1639"/>
      <c s="1163"/>
      <c s="1163"/>
      <c s="1163"/>
      <c s="1163"/>
      <c s="1639"/>
      <c s="1163"/>
      <c s="1163"/>
      <c s="547"/>
      <c s="1163"/>
      <c s="1163"/>
      <c s="1163"/>
      <c s="1163"/>
      <c s="1163"/>
      <c s="1635"/>
      <c s="569"/>
      <c s="569"/>
      <c s="569"/>
      <c s="569"/>
      <c s="1644">
        <v>11</v>
      </c>
    </row>
    <row r="144" spans="1:32" s="1644" customFormat="1" ht="11.55" customHeight="1">
      <c r="A144" s="990"/>
      <c s="1639"/>
      <c s="1639"/>
      <c s="354"/>
      <c r="K144" s="1163"/>
      <c s="1639"/>
      <c s="1639"/>
      <c s="1163"/>
      <c s="1163"/>
      <c s="1163"/>
      <c s="1163"/>
      <c s="1639"/>
      <c s="1163"/>
      <c s="1163"/>
      <c s="547"/>
      <c s="1163"/>
      <c s="1163"/>
      <c s="1163"/>
      <c s="1163"/>
      <c s="1163"/>
      <c s="1635"/>
      <c s="569"/>
      <c s="569"/>
      <c s="569"/>
      <c s="569"/>
      <c s="1644">
        <v>11</v>
      </c>
    </row>
    <row r="145" spans="1:32" s="1644" customFormat="1" ht="11.55" customHeight="1">
      <c r="A145" s="990"/>
      <c s="1639"/>
      <c s="1639"/>
      <c s="354"/>
      <c r="K145" s="1163"/>
      <c s="1639"/>
      <c s="1639"/>
      <c s="1163"/>
      <c s="1163"/>
      <c s="1163"/>
      <c s="1163"/>
      <c s="1639"/>
      <c s="1163"/>
      <c s="1163"/>
      <c s="547"/>
      <c s="1163"/>
      <c s="1163"/>
      <c s="1163"/>
      <c s="1163"/>
      <c s="1163"/>
      <c s="1635"/>
      <c s="569"/>
      <c s="569"/>
      <c s="569"/>
      <c s="569"/>
      <c s="1644">
        <v>11</v>
      </c>
    </row>
    <row r="146" spans="1:32" s="1644" customFormat="1" ht="11.55" customHeight="1">
      <c r="A146" s="990"/>
      <c s="1639"/>
      <c s="1639"/>
      <c s="354"/>
      <c r="K146" s="1163"/>
      <c s="1639"/>
      <c s="1639"/>
      <c s="1163"/>
      <c s="1163"/>
      <c s="1163"/>
      <c s="1163"/>
      <c s="1639"/>
      <c s="1163"/>
      <c s="1163"/>
      <c s="547"/>
      <c s="1163"/>
      <c s="1163"/>
      <c s="1163"/>
      <c s="1163"/>
      <c s="1163"/>
      <c s="1635"/>
      <c s="569"/>
      <c s="569"/>
      <c s="569"/>
      <c s="569"/>
      <c s="1644">
        <v>11</v>
      </c>
    </row>
    <row r="147" spans="1:32" s="1644" customFormat="1" ht="11.55" customHeight="1">
      <c r="A147" s="990"/>
      <c s="1639"/>
      <c s="1639"/>
      <c s="354"/>
      <c r="K147" s="1163"/>
      <c s="1639"/>
      <c s="1639"/>
      <c s="1163"/>
      <c s="1163"/>
      <c s="1163"/>
      <c s="1163"/>
      <c s="1639"/>
      <c s="1163"/>
      <c s="1163"/>
      <c s="547"/>
      <c s="1163"/>
      <c s="1163"/>
      <c s="1163"/>
      <c s="1163"/>
      <c s="1163"/>
      <c s="1635"/>
      <c s="569"/>
      <c s="569"/>
      <c s="569"/>
      <c s="569"/>
      <c s="1644">
        <v>11</v>
      </c>
    </row>
    <row r="148" spans="1:32" s="1644" customFormat="1" ht="11.55" customHeight="1">
      <c r="A148" s="990"/>
      <c s="1639"/>
      <c s="1639"/>
      <c s="354"/>
      <c r="K148" s="1163"/>
      <c s="1639"/>
      <c s="1639"/>
      <c s="1163"/>
      <c s="1163"/>
      <c s="1163"/>
      <c s="1163"/>
      <c s="1639"/>
      <c s="1163"/>
      <c s="1163"/>
      <c s="547"/>
      <c s="1163"/>
      <c s="1163"/>
      <c s="1163"/>
      <c s="1163"/>
      <c s="1163"/>
      <c s="1635"/>
      <c s="569"/>
      <c s="569"/>
      <c s="569"/>
      <c s="569"/>
      <c s="1644">
        <v>11</v>
      </c>
    </row>
    <row r="149" spans="1:32" s="1644" customFormat="1" ht="11.55" customHeight="1">
      <c r="A149" s="990"/>
      <c s="1639"/>
      <c s="1639"/>
      <c s="354"/>
      <c r="K149" s="1163"/>
      <c s="1639"/>
      <c s="1639"/>
      <c s="1163"/>
      <c s="1163"/>
      <c s="1163"/>
      <c s="1163"/>
      <c s="1639"/>
      <c s="1163"/>
      <c s="1163"/>
      <c s="547"/>
      <c s="1163"/>
      <c s="1163"/>
      <c s="1163"/>
      <c s="1163"/>
      <c s="1163"/>
      <c s="1635"/>
      <c s="569"/>
      <c s="569"/>
      <c s="569"/>
      <c s="569"/>
      <c s="1644">
        <v>11</v>
      </c>
    </row>
    <row r="150" spans="1:32" s="1644" customFormat="1" ht="11.55" customHeight="1">
      <c r="A150" s="990"/>
      <c s="1639"/>
      <c s="1639"/>
      <c s="354"/>
      <c r="K150" s="1163"/>
      <c s="1639"/>
      <c s="1639"/>
      <c s="1163"/>
      <c s="1163"/>
      <c s="1163"/>
      <c s="1163"/>
      <c s="1639"/>
      <c s="1163"/>
      <c s="1163"/>
      <c s="547"/>
      <c s="1163"/>
      <c s="1163"/>
      <c s="1163"/>
      <c s="1163"/>
      <c s="1163"/>
      <c s="1635"/>
      <c s="569"/>
      <c s="569"/>
      <c s="569"/>
      <c s="569"/>
      <c s="1644">
        <v>11</v>
      </c>
    </row>
    <row r="151" spans="1:32" s="1644" customFormat="1" ht="11.55" customHeight="1">
      <c r="A151" s="990"/>
      <c s="1639"/>
      <c s="1639"/>
      <c s="354"/>
      <c r="K151" s="1163"/>
      <c s="1639"/>
      <c s="1639"/>
      <c s="1163"/>
      <c s="1163"/>
      <c s="1163"/>
      <c s="1163"/>
      <c s="1639"/>
      <c s="1163"/>
      <c s="1163"/>
      <c s="547"/>
      <c s="1163"/>
      <c s="1163"/>
      <c s="1163"/>
      <c s="1163"/>
      <c s="1163"/>
      <c s="1635"/>
      <c s="569"/>
      <c s="569"/>
      <c s="569"/>
      <c s="569"/>
      <c s="1644">
        <v>11</v>
      </c>
    </row>
    <row r="152" spans="1:32" s="1644" customFormat="1" ht="11.55" customHeight="1">
      <c r="A152" s="990"/>
      <c s="1639"/>
      <c s="1639"/>
      <c s="354"/>
      <c r="K152" s="1163"/>
      <c s="1639"/>
      <c s="1639"/>
      <c s="1163"/>
      <c s="1163"/>
      <c s="1163"/>
      <c s="1163"/>
      <c s="1639"/>
      <c s="1163"/>
      <c s="1163"/>
      <c s="547"/>
      <c s="1163"/>
      <c s="1163"/>
      <c s="1163"/>
      <c s="1163"/>
      <c s="1163"/>
      <c s="1635"/>
      <c s="569"/>
      <c s="569"/>
      <c s="569"/>
      <c s="569"/>
      <c s="1644">
        <v>11</v>
      </c>
    </row>
    <row r="153" spans="1:32" s="1644" customFormat="1" ht="11.55" customHeight="1">
      <c r="A153" s="990"/>
      <c s="1639"/>
      <c s="1639"/>
      <c s="354"/>
      <c r="K153" s="1163"/>
      <c s="1639"/>
      <c s="1639"/>
      <c s="1163"/>
      <c s="1163"/>
      <c s="1163"/>
      <c s="1163"/>
      <c s="1639"/>
      <c s="1163"/>
      <c s="1163"/>
      <c s="547"/>
      <c s="1163"/>
      <c s="1163"/>
      <c s="1163"/>
      <c s="1163"/>
      <c s="1163"/>
      <c s="1635"/>
      <c s="569"/>
      <c s="569"/>
      <c s="569"/>
      <c s="569"/>
      <c s="1644">
        <v>11</v>
      </c>
    </row>
    <row r="154" spans="1:32" s="1644" customFormat="1" ht="11.55" customHeight="1">
      <c r="A154" s="990"/>
      <c s="1639"/>
      <c s="1639"/>
      <c s="354"/>
      <c r="K154" s="1163"/>
      <c s="1639"/>
      <c s="1639"/>
      <c s="1163"/>
      <c s="1163"/>
      <c s="1163"/>
      <c s="1163"/>
      <c s="1639"/>
      <c s="1163"/>
      <c s="1163"/>
      <c s="547"/>
      <c s="1163"/>
      <c s="1163"/>
      <c s="1163"/>
      <c s="1163"/>
      <c s="1163"/>
      <c s="1635"/>
      <c s="569"/>
      <c s="569"/>
      <c s="569"/>
      <c s="569"/>
      <c s="1644">
        <v>11</v>
      </c>
    </row>
    <row r="155" spans="1:32" s="1644" customFormat="1" ht="11.55" customHeight="1">
      <c r="A155" s="990"/>
      <c s="1639"/>
      <c s="1639"/>
      <c s="354"/>
      <c r="K155" s="1163"/>
      <c s="1639"/>
      <c s="1639"/>
      <c s="1163"/>
      <c s="1163"/>
      <c s="1163"/>
      <c s="1163"/>
      <c s="1639"/>
      <c s="1163"/>
      <c s="1163"/>
      <c s="547"/>
      <c s="1163"/>
      <c s="1163"/>
      <c s="1163"/>
      <c s="1163"/>
      <c s="1163"/>
      <c s="1635"/>
      <c s="569"/>
      <c s="569"/>
      <c s="569"/>
      <c s="569"/>
      <c s="1644">
        <v>11</v>
      </c>
    </row>
    <row r="156" spans="1:32" s="1644" customFormat="1" ht="11.55" customHeight="1">
      <c r="A156" s="990"/>
      <c s="1639"/>
      <c s="1639"/>
      <c s="354"/>
      <c r="K156" s="1163"/>
      <c s="1639"/>
      <c s="1639"/>
      <c s="1163"/>
      <c s="1163"/>
      <c s="1163"/>
      <c s="1163"/>
      <c s="1639"/>
      <c s="1163"/>
      <c s="1163"/>
      <c s="547"/>
      <c s="1163"/>
      <c s="1163"/>
      <c s="1163"/>
      <c s="1163"/>
      <c s="1163"/>
      <c s="1635"/>
      <c s="569"/>
      <c s="569"/>
      <c s="569"/>
      <c s="569"/>
      <c s="1644">
        <v>11</v>
      </c>
    </row>
    <row r="157" spans="1:32" s="1644" customFormat="1" ht="11.55" customHeight="1">
      <c r="A157" s="990"/>
      <c s="1639"/>
      <c s="1639"/>
      <c s="354"/>
      <c r="K157" s="1163"/>
      <c s="1639"/>
      <c s="1639"/>
      <c s="1163"/>
      <c s="1163"/>
      <c s="1163"/>
      <c s="1163"/>
      <c s="1639"/>
      <c s="1163"/>
      <c s="1163"/>
      <c s="547"/>
      <c s="1163"/>
      <c s="1163"/>
      <c s="1163"/>
      <c s="1163"/>
      <c s="1163"/>
      <c s="1635"/>
      <c s="569"/>
      <c s="569"/>
      <c s="569"/>
      <c s="569"/>
      <c s="1644">
        <v>11</v>
      </c>
    </row>
    <row r="158" spans="1:32" s="1644" customFormat="1" ht="11.55" customHeight="1">
      <c r="A158" s="990"/>
      <c s="1639"/>
      <c s="1639"/>
      <c s="354"/>
      <c r="K158" s="1163"/>
      <c s="1639"/>
      <c s="1639"/>
      <c s="1163"/>
      <c s="1163"/>
      <c s="1163"/>
      <c s="1163"/>
      <c s="1639"/>
      <c s="1163"/>
      <c s="1163"/>
      <c s="547"/>
      <c s="1163"/>
      <c s="1163"/>
      <c s="1163"/>
      <c s="1163"/>
      <c s="1163"/>
      <c s="1635"/>
      <c s="569"/>
      <c s="569"/>
      <c s="569"/>
      <c s="569"/>
      <c s="1644">
        <v>11</v>
      </c>
    </row>
    <row r="159" spans="1:32" s="1644" customFormat="1" ht="11.55" customHeight="1">
      <c r="A159" s="990"/>
      <c s="1639"/>
      <c s="1639"/>
      <c s="354"/>
      <c r="K159" s="1163"/>
      <c s="1639"/>
      <c s="1639"/>
      <c s="1163"/>
      <c s="1163"/>
      <c s="1163"/>
      <c s="1163"/>
      <c s="1639"/>
      <c s="1163"/>
      <c s="1163"/>
      <c s="547"/>
      <c s="1163"/>
      <c s="1163"/>
      <c s="1163"/>
      <c s="1163"/>
      <c s="1163"/>
      <c s="1635"/>
      <c s="569"/>
      <c s="569"/>
      <c s="569"/>
      <c s="569"/>
      <c s="1644">
        <v>11</v>
      </c>
    </row>
    <row r="160" spans="1:32" s="1644" customFormat="1" ht="11.55" customHeight="1">
      <c r="A160" s="990"/>
      <c s="1639"/>
      <c s="1639"/>
      <c s="354"/>
      <c r="K160" s="1163"/>
      <c s="1639"/>
      <c s="1639"/>
      <c s="1163"/>
      <c s="1163"/>
      <c s="1163"/>
      <c s="1163"/>
      <c s="1639"/>
      <c s="1163"/>
      <c s="1163"/>
      <c s="547"/>
      <c s="1163"/>
      <c s="1163"/>
      <c s="1163"/>
      <c s="1163"/>
      <c s="1163"/>
      <c s="1635"/>
      <c s="569"/>
      <c s="569"/>
      <c s="569"/>
      <c s="569"/>
      <c s="1644">
        <v>11</v>
      </c>
    </row>
    <row r="161" spans="1:32" s="1644" customFormat="1" ht="11.55" customHeight="1">
      <c r="A161" s="990"/>
      <c s="1639"/>
      <c s="1639"/>
      <c s="354"/>
      <c r="K161" s="1163"/>
      <c s="1639"/>
      <c s="1639"/>
      <c s="1163"/>
      <c s="1163"/>
      <c s="1163"/>
      <c s="1163"/>
      <c s="1639"/>
      <c s="1163"/>
      <c s="1163"/>
      <c s="547"/>
      <c s="1163"/>
      <c s="1163"/>
      <c s="1163"/>
      <c s="1163"/>
      <c s="1163"/>
      <c s="1635"/>
      <c s="569"/>
      <c s="569"/>
      <c s="569"/>
      <c s="569"/>
      <c s="1644">
        <v>11</v>
      </c>
    </row>
    <row r="162" spans="1:32" s="1644" customFormat="1" ht="11.55" customHeight="1">
      <c r="A162" s="990"/>
      <c s="1639"/>
      <c s="1639"/>
      <c s="354"/>
      <c r="K162" s="1163"/>
      <c s="1639"/>
      <c s="1639"/>
      <c s="1163"/>
      <c s="1163"/>
      <c s="1163"/>
      <c s="1163"/>
      <c s="1639"/>
      <c s="1163"/>
      <c s="1163"/>
      <c s="547"/>
      <c s="1163"/>
      <c s="1163"/>
      <c s="1163"/>
      <c s="1163"/>
      <c s="1163"/>
      <c s="1635"/>
      <c s="569"/>
      <c s="569"/>
      <c s="569"/>
      <c s="569"/>
      <c s="1644">
        <v>11</v>
      </c>
    </row>
    <row r="163" spans="1:32" s="1644" customFormat="1" ht="11.55" customHeight="1">
      <c r="A163" s="990"/>
      <c s="1639"/>
      <c s="1639"/>
      <c s="354"/>
      <c r="K163" s="1163"/>
      <c s="1639"/>
      <c s="1639"/>
      <c s="1163"/>
      <c s="1163"/>
      <c s="1163"/>
      <c s="1163"/>
      <c s="1639"/>
      <c s="1163"/>
      <c s="1163"/>
      <c s="547"/>
      <c s="1163"/>
      <c s="1163"/>
      <c s="1163"/>
      <c s="1163"/>
      <c s="1163"/>
      <c s="1635"/>
      <c s="569"/>
      <c s="569"/>
      <c s="569"/>
      <c s="569"/>
      <c s="1644">
        <v>11</v>
      </c>
    </row>
    <row r="164" spans="1:32" s="1644" customFormat="1" ht="11.55" customHeight="1">
      <c r="A164" s="990"/>
      <c s="1639"/>
      <c s="1639"/>
      <c s="354"/>
      <c r="K164" s="1163"/>
      <c s="1639"/>
      <c s="1639"/>
      <c s="1163"/>
      <c s="1163"/>
      <c s="1163"/>
      <c s="1163"/>
      <c s="1639"/>
      <c s="1163"/>
      <c s="1163"/>
      <c s="547"/>
      <c s="1163"/>
      <c s="1163"/>
      <c s="1163"/>
      <c s="1163"/>
      <c s="1163"/>
      <c s="1635"/>
      <c s="569"/>
      <c s="569"/>
      <c s="569"/>
      <c s="569"/>
      <c s="1644">
        <v>11</v>
      </c>
    </row>
    <row r="165" spans="1:32" s="1644" customFormat="1" ht="11.55" customHeight="1">
      <c r="A165" s="990"/>
      <c s="1639"/>
      <c s="1639"/>
      <c s="354"/>
      <c r="K165" s="1163"/>
      <c s="1639"/>
      <c s="1639"/>
      <c s="1163"/>
      <c s="1163"/>
      <c s="1163"/>
      <c s="1163"/>
      <c s="1639"/>
      <c s="1163"/>
      <c s="1163"/>
      <c s="547"/>
      <c s="1163"/>
      <c s="1163"/>
      <c s="1163"/>
      <c s="1163"/>
      <c s="1163"/>
      <c s="1635"/>
      <c s="569"/>
      <c s="569"/>
      <c s="569"/>
      <c s="569"/>
      <c s="1644">
        <v>11</v>
      </c>
    </row>
    <row r="166" spans="1:32" s="1644" customFormat="1" ht="11.55" customHeight="1">
      <c r="A166" s="990"/>
      <c s="1639"/>
      <c s="1639"/>
      <c s="354"/>
      <c r="K166" s="1163"/>
      <c s="1639"/>
      <c s="1639"/>
      <c s="1163"/>
      <c s="1163"/>
      <c s="1163"/>
      <c s="1163"/>
      <c s="1639"/>
      <c s="1163"/>
      <c s="1163"/>
      <c s="547"/>
      <c s="1163"/>
      <c s="1163"/>
      <c s="1163"/>
      <c s="1163"/>
      <c s="1163"/>
      <c s="1635"/>
      <c s="569"/>
      <c s="569"/>
      <c s="569"/>
      <c s="569"/>
      <c s="1644">
        <v>11</v>
      </c>
    </row>
    <row r="167" spans="1:32" s="1644" customFormat="1" ht="11.55" customHeight="1">
      <c r="A167" s="990"/>
      <c s="1639"/>
      <c s="1639"/>
      <c s="354"/>
      <c r="K167" s="1163"/>
      <c s="1639"/>
      <c s="1639"/>
      <c s="1163"/>
      <c s="1163"/>
      <c s="1163"/>
      <c s="1163"/>
      <c s="1639"/>
      <c s="1163"/>
      <c s="1163"/>
      <c s="547"/>
      <c s="1163"/>
      <c s="1163"/>
      <c s="1163"/>
      <c s="1163"/>
      <c s="1163"/>
      <c s="1635"/>
      <c s="569"/>
      <c s="569"/>
      <c s="569"/>
      <c s="569"/>
      <c s="1644">
        <v>11</v>
      </c>
    </row>
    <row r="168" spans="1:32" s="1644" customFormat="1" ht="11.55" customHeight="1">
      <c r="A168" s="990"/>
      <c s="1639"/>
      <c s="1639"/>
      <c s="354"/>
      <c r="K168" s="1163"/>
      <c s="1639"/>
      <c s="1639"/>
      <c s="1163"/>
      <c s="1163"/>
      <c s="1163"/>
      <c s="1163"/>
      <c s="1639"/>
      <c s="1163"/>
      <c s="1163"/>
      <c s="547"/>
      <c s="1163"/>
      <c s="1163"/>
      <c s="1163"/>
      <c s="1163"/>
      <c s="1163"/>
      <c s="1635"/>
      <c s="569"/>
      <c s="569"/>
      <c s="569"/>
      <c s="569"/>
      <c s="1644">
        <v>11</v>
      </c>
    </row>
    <row r="169" spans="1:32" s="1644" customFormat="1" ht="11.55" customHeight="1">
      <c r="A169" s="990"/>
      <c s="1639"/>
      <c s="1639"/>
      <c s="354"/>
      <c r="K169" s="1163"/>
      <c s="1639"/>
      <c s="1639"/>
      <c s="1163"/>
      <c s="1163"/>
      <c s="1163"/>
      <c s="1163"/>
      <c s="1639"/>
      <c s="1163"/>
      <c s="1163"/>
      <c s="547"/>
      <c s="1163"/>
      <c s="1163"/>
      <c s="1163"/>
      <c s="1163"/>
      <c s="1163"/>
      <c s="1635"/>
      <c s="569"/>
      <c s="569"/>
      <c s="569"/>
      <c s="569"/>
      <c s="1644">
        <v>11</v>
      </c>
    </row>
    <row r="170" spans="1:32" s="1644" customFormat="1" ht="11.55" customHeight="1">
      <c r="A170" s="990"/>
      <c s="1639"/>
      <c s="1639"/>
      <c s="354"/>
      <c r="K170" s="1163"/>
      <c s="1639"/>
      <c s="1639"/>
      <c s="1163"/>
      <c s="1163"/>
      <c s="1163"/>
      <c s="1163"/>
      <c s="1639"/>
      <c s="1163"/>
      <c s="1163"/>
      <c s="547"/>
      <c s="1163"/>
      <c s="1163"/>
      <c s="1163"/>
      <c s="1163"/>
      <c s="1163"/>
      <c s="1635"/>
      <c s="569"/>
      <c s="569"/>
      <c s="569"/>
      <c s="569"/>
      <c s="1644">
        <v>11</v>
      </c>
    </row>
    <row r="171" spans="1:32" s="1644" customFormat="1" ht="11.55" customHeight="1">
      <c r="A171" s="990"/>
      <c s="1639"/>
      <c s="1639"/>
      <c s="354"/>
      <c r="K171" s="1163"/>
      <c s="1639"/>
      <c s="1639"/>
      <c s="1163"/>
      <c s="1163"/>
      <c s="1163"/>
      <c s="1163"/>
      <c s="1639"/>
      <c s="1163"/>
      <c s="1163"/>
      <c s="547"/>
      <c s="1163"/>
      <c s="1163"/>
      <c s="1163"/>
      <c s="1163"/>
      <c s="1163"/>
      <c s="1635"/>
      <c s="569"/>
      <c s="569"/>
      <c s="569"/>
      <c s="569"/>
      <c s="1644">
        <v>11</v>
      </c>
    </row>
    <row r="172" spans="1:32" s="1644" customFormat="1" ht="11.55" customHeight="1">
      <c r="A172" s="990"/>
      <c s="1639"/>
      <c s="1639"/>
      <c s="354"/>
      <c r="K172" s="1163"/>
      <c s="1639"/>
      <c s="1639"/>
      <c s="1163"/>
      <c s="1163"/>
      <c s="1163"/>
      <c s="1163"/>
      <c s="1639"/>
      <c s="1163"/>
      <c s="1163"/>
      <c s="547"/>
      <c s="1163"/>
      <c s="1163"/>
      <c s="1163"/>
      <c s="1163"/>
      <c s="1163"/>
      <c s="1635"/>
      <c s="569"/>
      <c s="569"/>
      <c s="569"/>
      <c s="569"/>
      <c s="1644">
        <v>11</v>
      </c>
    </row>
    <row r="173" spans="1:32" s="1644" customFormat="1" ht="11.55" customHeight="1">
      <c r="A173" s="990"/>
      <c s="1639"/>
      <c s="1639"/>
      <c s="354"/>
      <c r="K173" s="1163"/>
      <c s="1639"/>
      <c s="1639"/>
      <c s="1163"/>
      <c s="1163"/>
      <c s="1163"/>
      <c s="1163"/>
      <c s="1639"/>
      <c s="1163"/>
      <c s="1163"/>
      <c s="547"/>
      <c s="1163"/>
      <c s="1163"/>
      <c s="1163"/>
      <c s="1163"/>
      <c s="1163"/>
      <c s="1635"/>
      <c s="569"/>
      <c s="569"/>
      <c s="569"/>
      <c s="569"/>
      <c s="1644">
        <v>11</v>
      </c>
    </row>
    <row r="174" spans="1:32" s="1644" customFormat="1" ht="11.55" customHeight="1">
      <c r="A174" s="990"/>
      <c s="1639"/>
      <c s="1639"/>
      <c s="354"/>
      <c r="K174" s="1163"/>
      <c s="1639"/>
      <c s="1639"/>
      <c s="1163"/>
      <c s="1163"/>
      <c s="1163"/>
      <c s="1163"/>
      <c s="1639"/>
      <c s="1163"/>
      <c s="1163"/>
      <c s="547"/>
      <c s="1163"/>
      <c s="1163"/>
      <c s="1163"/>
      <c s="1163"/>
      <c s="1163"/>
      <c s="1635"/>
      <c s="569"/>
      <c s="569"/>
      <c s="569"/>
      <c s="569"/>
      <c s="1644">
        <v>11</v>
      </c>
    </row>
    <row r="175" spans="1:32" s="1644" customFormat="1" ht="11.55" customHeight="1">
      <c r="A175" s="990"/>
      <c s="1639"/>
      <c s="1639"/>
      <c s="354"/>
      <c r="K175" s="1163"/>
      <c s="1639"/>
      <c s="1639"/>
      <c s="1163"/>
      <c s="1163"/>
      <c s="1163"/>
      <c s="1163"/>
      <c s="1639"/>
      <c s="1163"/>
      <c s="1163"/>
      <c s="547"/>
      <c s="1163"/>
      <c s="1163"/>
      <c s="1163"/>
      <c s="1163"/>
      <c s="1163"/>
      <c s="1635"/>
      <c s="569"/>
      <c s="569"/>
      <c s="569"/>
      <c s="569"/>
      <c s="1644">
        <v>11</v>
      </c>
    </row>
    <row r="176" spans="1:32" s="1644" customFormat="1" ht="11.55" customHeight="1">
      <c r="A176" s="990"/>
      <c s="1639"/>
      <c s="1639"/>
      <c s="354"/>
      <c r="K176" s="1163"/>
      <c s="1639"/>
      <c s="1639"/>
      <c s="1163"/>
      <c s="1163"/>
      <c s="1163"/>
      <c s="1163"/>
      <c s="1639"/>
      <c s="1163"/>
      <c s="1163"/>
      <c s="547"/>
      <c s="1163"/>
      <c s="1163"/>
      <c s="1163"/>
      <c s="1163"/>
      <c s="1163"/>
      <c s="1635"/>
      <c s="569"/>
      <c s="569"/>
      <c s="569"/>
      <c s="569"/>
      <c s="1644">
        <v>11</v>
      </c>
    </row>
    <row r="177" spans="1:32" s="1644" customFormat="1" ht="11.55" customHeight="1">
      <c r="A177" s="990"/>
      <c s="1639"/>
      <c s="1639"/>
      <c s="354"/>
      <c r="K177" s="1163"/>
      <c s="1639"/>
      <c s="1639"/>
      <c s="1163"/>
      <c s="1163"/>
      <c s="1163"/>
      <c s="1163"/>
      <c s="1639"/>
      <c s="1163"/>
      <c s="1163"/>
      <c s="547"/>
      <c s="1163"/>
      <c s="1163"/>
      <c s="1163"/>
      <c s="1163"/>
      <c s="1163"/>
      <c s="1635"/>
      <c s="569"/>
      <c s="569"/>
      <c s="569"/>
      <c s="569"/>
      <c s="1644">
        <v>11</v>
      </c>
    </row>
    <row r="178" spans="1:32" s="1644" customFormat="1" ht="11.55" customHeight="1">
      <c r="A178" s="990"/>
      <c s="1639"/>
      <c s="1639"/>
      <c s="354"/>
      <c r="K178" s="1163"/>
      <c s="1639"/>
      <c s="1639"/>
      <c s="1163"/>
      <c s="1163"/>
      <c s="1163"/>
      <c s="1163"/>
      <c s="1639"/>
      <c s="1163"/>
      <c s="1163"/>
      <c s="547"/>
      <c s="1163"/>
      <c s="1163"/>
      <c s="1163"/>
      <c s="1163"/>
      <c s="1163"/>
      <c s="1635"/>
      <c s="569"/>
      <c s="569"/>
      <c s="569"/>
      <c s="569"/>
      <c s="1644">
        <v>11</v>
      </c>
    </row>
    <row r="179" spans="1:32" s="1644" customFormat="1" ht="11.55" customHeight="1">
      <c r="A179" s="990"/>
      <c s="1639"/>
      <c s="1639"/>
      <c s="354"/>
      <c r="K179" s="1163"/>
      <c s="1639"/>
      <c s="1639"/>
      <c s="1163"/>
      <c s="1163"/>
      <c s="1163"/>
      <c s="1163"/>
      <c s="1639"/>
      <c s="1163"/>
      <c s="1163"/>
      <c s="547"/>
      <c s="1163"/>
      <c s="1163"/>
      <c s="1163"/>
      <c s="1163"/>
      <c s="1163"/>
      <c s="1635"/>
      <c s="569"/>
      <c s="569"/>
      <c s="569"/>
      <c s="569"/>
      <c s="1644">
        <v>11</v>
      </c>
    </row>
    <row r="180" spans="1:32" s="1644" customFormat="1" ht="11.55" customHeight="1">
      <c r="A180" s="990"/>
      <c s="1639"/>
      <c s="1639"/>
      <c s="354"/>
      <c r="K180" s="1163"/>
      <c s="1639"/>
      <c s="1639"/>
      <c s="1163"/>
      <c s="1163"/>
      <c s="1163"/>
      <c s="1163"/>
      <c s="1639"/>
      <c s="1163"/>
      <c s="1163"/>
      <c s="547"/>
      <c s="1163"/>
      <c s="1163"/>
      <c s="1163"/>
      <c s="1163"/>
      <c s="1163"/>
      <c s="1635"/>
      <c s="569"/>
      <c s="569"/>
      <c s="569"/>
      <c s="569"/>
      <c s="1644">
        <v>11</v>
      </c>
    </row>
    <row r="181" spans="1:32" s="1644" customFormat="1" ht="11.55" customHeight="1">
      <c r="A181" s="990"/>
      <c s="1639"/>
      <c s="1639"/>
      <c s="354"/>
      <c r="K181" s="1163"/>
      <c s="1639"/>
      <c s="1639"/>
      <c s="1163"/>
      <c s="1163"/>
      <c s="1163"/>
      <c s="1163"/>
      <c s="1639"/>
      <c s="1163"/>
      <c s="1163"/>
      <c s="547"/>
      <c s="1163"/>
      <c s="1163"/>
      <c s="1163"/>
      <c s="1163"/>
      <c s="1163"/>
      <c s="1635"/>
      <c s="569"/>
      <c s="569"/>
      <c s="569"/>
      <c s="569"/>
      <c s="1644">
        <v>11</v>
      </c>
    </row>
    <row r="182" spans="1:32" s="1644" customFormat="1" ht="11.55" customHeight="1">
      <c r="A182" s="990"/>
      <c s="1639"/>
      <c s="1639"/>
      <c s="354"/>
      <c r="K182" s="1163"/>
      <c s="1639"/>
      <c s="1639"/>
      <c s="1163"/>
      <c s="1163"/>
      <c s="1163"/>
      <c s="1163"/>
      <c s="1639"/>
      <c s="1163"/>
      <c s="1163"/>
      <c s="547"/>
      <c s="1163"/>
      <c s="1163"/>
      <c s="1163"/>
      <c s="1163"/>
      <c s="1163"/>
      <c s="1635"/>
      <c s="569"/>
      <c s="569"/>
      <c s="569"/>
      <c s="569"/>
      <c s="1644">
        <v>11</v>
      </c>
    </row>
    <row r="183" spans="1:32" s="1644" customFormat="1" ht="11.55" customHeight="1">
      <c r="A183" s="990"/>
      <c s="1639"/>
      <c s="1639"/>
      <c s="354"/>
      <c r="K183" s="1163"/>
      <c s="1639"/>
      <c s="1639"/>
      <c s="1163"/>
      <c s="1163"/>
      <c s="1163"/>
      <c s="1163"/>
      <c s="1639"/>
      <c s="1163"/>
      <c s="1163"/>
      <c s="547"/>
      <c s="1163"/>
      <c s="1163"/>
      <c s="1163"/>
      <c s="1163"/>
      <c s="1163"/>
      <c s="1635"/>
      <c s="569"/>
      <c s="569"/>
      <c s="569"/>
      <c s="569"/>
      <c s="1644">
        <v>11</v>
      </c>
    </row>
    <row r="184" spans="1:32" s="1644" customFormat="1" ht="11.55" customHeight="1">
      <c r="A184" s="990"/>
      <c s="1639"/>
      <c s="1639"/>
      <c s="354"/>
      <c r="K184" s="1163"/>
      <c s="1639"/>
      <c s="1639"/>
      <c s="1163"/>
      <c s="1163"/>
      <c s="1163"/>
      <c s="1163"/>
      <c s="1639"/>
      <c s="1163"/>
      <c s="1163"/>
      <c s="547"/>
      <c s="1163"/>
      <c s="1163"/>
      <c s="1163"/>
      <c s="1163"/>
      <c s="1163"/>
      <c s="1635"/>
      <c s="569"/>
      <c s="569"/>
      <c s="569"/>
      <c s="569"/>
      <c s="1644">
        <v>11</v>
      </c>
    </row>
    <row r="185" spans="1:32" s="1644" customFormat="1" ht="11.55" customHeight="1">
      <c r="A185" s="990"/>
      <c s="1639"/>
      <c s="1639"/>
      <c s="354"/>
      <c r="K185" s="1163"/>
      <c s="1639"/>
      <c s="1639"/>
      <c s="1163"/>
      <c s="1163"/>
      <c s="1163"/>
      <c s="1163"/>
      <c s="1639"/>
      <c s="1163"/>
      <c s="1163"/>
      <c s="547"/>
      <c s="1163"/>
      <c s="1163"/>
      <c s="1163"/>
      <c s="1163"/>
      <c s="1163"/>
      <c s="1635"/>
      <c s="569"/>
      <c s="569"/>
      <c s="569"/>
      <c s="569"/>
      <c s="1644">
        <v>11</v>
      </c>
    </row>
    <row r="186" spans="1:32" s="1644" customFormat="1" ht="11.55" customHeight="1">
      <c r="A186" s="990"/>
      <c s="1639"/>
      <c s="1639"/>
      <c s="354"/>
      <c r="K186" s="1163"/>
      <c s="1639"/>
      <c s="1639"/>
      <c s="1163"/>
      <c s="1163"/>
      <c s="1163"/>
      <c s="1163"/>
      <c s="1639"/>
      <c s="1163"/>
      <c s="1163"/>
      <c s="547"/>
      <c s="1163"/>
      <c s="1163"/>
      <c s="1163"/>
      <c s="1163"/>
      <c s="1163"/>
      <c s="1635"/>
      <c s="569"/>
      <c s="569"/>
      <c s="569"/>
      <c s="569"/>
      <c s="1644">
        <v>11</v>
      </c>
    </row>
    <row r="187" spans="1:32" s="1644" customFormat="1" ht="11.55" customHeight="1">
      <c r="A187" s="990"/>
      <c s="1639"/>
      <c s="1639"/>
      <c s="354"/>
      <c r="K187" s="1163"/>
      <c s="1639"/>
      <c s="1639"/>
      <c s="1163"/>
      <c s="1163"/>
      <c s="1163"/>
      <c s="1163"/>
      <c s="1639"/>
      <c s="1163"/>
      <c s="1163"/>
      <c s="547"/>
      <c s="1163"/>
      <c s="1163"/>
      <c s="1163"/>
      <c s="1163"/>
      <c s="1163"/>
      <c s="1635"/>
      <c s="569"/>
      <c s="569"/>
      <c s="569"/>
      <c s="569"/>
      <c s="1644">
        <v>11</v>
      </c>
    </row>
    <row r="188" spans="1:32" s="1644" customFormat="1" ht="11.55" customHeight="1">
      <c r="A188" s="990"/>
      <c s="1639"/>
      <c s="1639"/>
      <c s="354"/>
      <c r="K188" s="1163"/>
      <c s="1639"/>
      <c s="1639"/>
      <c s="1163"/>
      <c s="1163"/>
      <c s="1163"/>
      <c s="1163"/>
      <c s="1639"/>
      <c s="1163"/>
      <c s="1163"/>
      <c s="547"/>
      <c s="1163"/>
      <c s="1163"/>
      <c s="1163"/>
      <c s="1163"/>
      <c s="1163"/>
      <c s="1635"/>
      <c s="569"/>
      <c s="569"/>
      <c s="569"/>
      <c s="569"/>
      <c s="1644">
        <v>11</v>
      </c>
    </row>
    <row r="189" spans="1:32" s="1644" customFormat="1" ht="11.55" customHeight="1">
      <c r="A189" s="990"/>
      <c s="1639"/>
      <c s="1639"/>
      <c s="354"/>
      <c r="K189" s="1163"/>
      <c s="1639"/>
      <c s="1639"/>
      <c s="1163"/>
      <c s="1163"/>
      <c s="1163"/>
      <c s="1163"/>
      <c s="1639"/>
      <c s="1163"/>
      <c s="1163"/>
      <c s="547"/>
      <c s="1163"/>
      <c s="1163"/>
      <c s="1163"/>
      <c s="1163"/>
      <c s="1163"/>
      <c s="1635"/>
      <c s="569"/>
      <c s="569"/>
      <c s="569"/>
      <c s="569"/>
      <c s="1644">
        <v>11</v>
      </c>
    </row>
    <row r="190" spans="1:32" s="1644" customFormat="1" ht="11.55" customHeight="1">
      <c r="A190" s="990"/>
      <c s="1639"/>
      <c s="1639"/>
      <c s="354"/>
      <c r="K190" s="1163"/>
      <c s="1639"/>
      <c s="1639"/>
      <c s="1163"/>
      <c s="1163"/>
      <c s="1163"/>
      <c s="1163"/>
      <c s="1639"/>
      <c s="1163"/>
      <c s="1163"/>
      <c s="547"/>
      <c s="1163"/>
      <c s="1163"/>
      <c s="1163"/>
      <c s="1163"/>
      <c s="1163"/>
      <c s="1635"/>
      <c s="569"/>
      <c s="569"/>
      <c s="569"/>
      <c s="569"/>
      <c s="1644">
        <v>11</v>
      </c>
    </row>
    <row r="191" spans="1:32" s="1644" customFormat="1" ht="11.55" customHeight="1">
      <c r="A191" s="990"/>
      <c s="1639"/>
      <c s="1639"/>
      <c s="354"/>
      <c r="K191" s="1163"/>
      <c s="1639"/>
      <c s="1639"/>
      <c s="1163"/>
      <c s="1163"/>
      <c s="1163"/>
      <c s="1163"/>
      <c s="1639"/>
      <c s="1163"/>
      <c s="1163"/>
      <c s="547"/>
      <c s="1163"/>
      <c s="1163"/>
      <c s="1163"/>
      <c s="1163"/>
      <c s="1163"/>
      <c s="1635"/>
      <c s="569"/>
      <c s="569"/>
      <c s="569"/>
      <c s="569"/>
      <c s="1644">
        <v>11</v>
      </c>
    </row>
    <row r="192" spans="1:32" s="1644" customFormat="1" ht="11.55" customHeight="1">
      <c r="A192" s="990"/>
      <c s="1639"/>
      <c s="1639"/>
      <c s="354"/>
      <c r="K192" s="1163"/>
      <c s="1639"/>
      <c s="1639"/>
      <c s="1163"/>
      <c s="1163"/>
      <c s="1163"/>
      <c s="1163"/>
      <c s="1639"/>
      <c s="1163"/>
      <c s="1163"/>
      <c s="547"/>
      <c s="1163"/>
      <c s="1163"/>
      <c s="1163"/>
      <c s="1163"/>
      <c s="1163"/>
      <c s="1635"/>
      <c s="569"/>
      <c s="569"/>
      <c s="569"/>
      <c s="569"/>
      <c s="1644">
        <v>11</v>
      </c>
    </row>
    <row r="193" spans="1:32" s="1644" customFormat="1" ht="11.55" customHeight="1">
      <c r="A193" s="990"/>
      <c s="1639"/>
      <c s="1639"/>
      <c s="354"/>
      <c r="K193" s="1163"/>
      <c s="1639"/>
      <c s="1639"/>
      <c s="1163"/>
      <c s="1163"/>
      <c s="1163"/>
      <c s="1163"/>
      <c s="1639"/>
      <c s="1163"/>
      <c s="1163"/>
      <c s="547"/>
      <c s="1163"/>
      <c s="1163"/>
      <c s="1163"/>
      <c s="1163"/>
      <c s="1163"/>
      <c s="1635"/>
      <c s="569"/>
      <c s="569"/>
      <c s="569"/>
      <c s="569"/>
      <c s="1644">
        <v>11</v>
      </c>
    </row>
    <row r="194" spans="1:32" s="1644" customFormat="1" ht="11.55" customHeight="1">
      <c r="A194" s="990"/>
      <c s="1639"/>
      <c s="1639"/>
      <c s="354"/>
      <c r="K194" s="1163"/>
      <c s="1639"/>
      <c s="1639"/>
      <c s="1163"/>
      <c s="1163"/>
      <c s="1163"/>
      <c s="1163"/>
      <c s="1639"/>
      <c s="1163"/>
      <c s="1163"/>
      <c s="547"/>
      <c s="1163"/>
      <c s="1163"/>
      <c s="1163"/>
      <c s="1163"/>
      <c s="1163"/>
      <c s="1635"/>
      <c s="569"/>
      <c s="569"/>
      <c s="569"/>
      <c s="569"/>
      <c s="1644">
        <v>11</v>
      </c>
    </row>
    <row r="195" spans="1:32" s="1644" customFormat="1" ht="11.55" customHeight="1">
      <c r="A195" s="990"/>
      <c s="1639"/>
      <c s="1639"/>
      <c s="354"/>
      <c r="K195" s="1163"/>
      <c s="1639"/>
      <c s="1639"/>
      <c s="1163"/>
      <c s="1163"/>
      <c s="1163"/>
      <c s="1163"/>
      <c s="1639"/>
      <c s="1163"/>
      <c s="1163"/>
      <c s="547"/>
      <c s="1163"/>
      <c s="1163"/>
      <c s="1163"/>
      <c s="1163"/>
      <c s="1163"/>
      <c s="1635"/>
      <c s="569"/>
      <c s="569"/>
      <c s="569"/>
      <c s="569"/>
      <c s="1644">
        <v>11</v>
      </c>
    </row>
    <row r="196" spans="1:32" s="1644" customFormat="1" ht="11.55" customHeight="1">
      <c r="A196" s="990"/>
      <c s="1639"/>
      <c s="1639"/>
      <c s="354"/>
      <c r="K196" s="1163"/>
      <c s="1639"/>
      <c s="1639"/>
      <c s="1163"/>
      <c s="1163"/>
      <c s="1163"/>
      <c s="1163"/>
      <c s="1639"/>
      <c s="1163"/>
      <c s="1163"/>
      <c s="547"/>
      <c s="1163"/>
      <c s="1163"/>
      <c s="1163"/>
      <c s="1163"/>
      <c s="1163"/>
      <c s="1635"/>
      <c s="569"/>
      <c s="569"/>
      <c s="569"/>
      <c s="569"/>
      <c s="1644">
        <v>11</v>
      </c>
    </row>
    <row r="197" spans="1:32" s="1644" customFormat="1" ht="11.55" customHeight="1">
      <c r="A197" s="990"/>
      <c s="1639"/>
      <c s="1639"/>
      <c s="354"/>
      <c r="K197" s="1163"/>
      <c s="1639"/>
      <c s="1639"/>
      <c s="1163"/>
      <c s="1163"/>
      <c s="1163"/>
      <c s="1163"/>
      <c s="1639"/>
      <c s="1163"/>
      <c s="1163"/>
      <c s="547"/>
      <c s="1163"/>
      <c s="1163"/>
      <c s="1163"/>
      <c s="1163"/>
      <c s="1163"/>
      <c s="1635"/>
      <c s="569"/>
      <c s="569"/>
      <c s="569"/>
      <c s="569"/>
      <c s="1644">
        <v>11</v>
      </c>
    </row>
    <row r="198" spans="1:32" s="1644" customFormat="1" ht="11.55" customHeight="1">
      <c r="A198" s="990"/>
      <c s="1639"/>
      <c s="1639"/>
      <c s="354"/>
      <c r="K198" s="1163"/>
      <c s="1639"/>
      <c s="1639"/>
      <c s="1163"/>
      <c s="1163"/>
      <c s="1163"/>
      <c s="1163"/>
      <c s="1639"/>
      <c s="1163"/>
      <c s="1163"/>
      <c s="547"/>
      <c s="1163"/>
      <c s="1163"/>
      <c s="1163"/>
      <c s="1163"/>
      <c s="1163"/>
      <c s="1635"/>
      <c s="569"/>
      <c s="569"/>
      <c s="569"/>
      <c s="569"/>
      <c s="1644">
        <v>11</v>
      </c>
    </row>
    <row r="199" spans="1:32" s="1644" customFormat="1" ht="11.55" customHeight="1">
      <c r="A199" s="990"/>
      <c s="1639"/>
      <c s="1639"/>
      <c s="354"/>
      <c r="K199" s="1163"/>
      <c s="1639"/>
      <c s="1639"/>
      <c s="1163"/>
      <c s="1163"/>
      <c s="1163"/>
      <c s="1163"/>
      <c s="1639"/>
      <c s="1163"/>
      <c s="1163"/>
      <c s="547"/>
      <c s="1163"/>
      <c s="1163"/>
      <c s="1163"/>
      <c s="1163"/>
      <c s="1163"/>
      <c s="1635"/>
      <c s="569"/>
      <c s="569"/>
      <c s="569"/>
      <c s="569"/>
      <c s="1644">
        <v>11</v>
      </c>
    </row>
    <row r="200" spans="1:32" s="1644" customFormat="1" ht="11.55" customHeight="1">
      <c r="A200" s="990"/>
      <c s="1639"/>
      <c s="1639"/>
      <c s="354"/>
      <c r="K200" s="1163"/>
      <c s="1639"/>
      <c s="1639"/>
      <c s="1163"/>
      <c s="1163"/>
      <c s="1163"/>
      <c s="1163"/>
      <c s="1639"/>
      <c s="1163"/>
      <c s="1163"/>
      <c s="547"/>
      <c s="1163"/>
      <c s="1163"/>
      <c s="1163"/>
      <c s="1163"/>
      <c s="1163"/>
      <c s="1635"/>
      <c s="569"/>
      <c s="569"/>
      <c s="569"/>
      <c s="569"/>
      <c s="1644">
        <v>11</v>
      </c>
    </row>
    <row r="201" spans="1:32" s="1644" customFormat="1" ht="11.55" customHeight="1">
      <c r="A201" s="990"/>
      <c s="1639"/>
      <c s="1639"/>
      <c s="354"/>
      <c r="K201" s="1163"/>
      <c s="1639"/>
      <c s="1639"/>
      <c s="1163"/>
      <c s="1163"/>
      <c s="1163"/>
      <c s="1163"/>
      <c s="1639"/>
      <c s="1163"/>
      <c s="1163"/>
      <c s="547"/>
      <c s="1163"/>
      <c s="1163"/>
      <c s="1163"/>
      <c s="1163"/>
      <c s="1163"/>
      <c s="1635"/>
      <c s="569"/>
      <c s="569"/>
      <c s="569"/>
      <c s="569"/>
      <c s="1644">
        <v>11</v>
      </c>
    </row>
    <row r="202" spans="1:32" s="1644" customFormat="1" ht="11.55" customHeight="1">
      <c r="A202" s="990"/>
      <c s="1639"/>
      <c s="1639"/>
      <c s="354"/>
      <c r="K202" s="1163"/>
      <c s="1639"/>
      <c s="1639"/>
      <c s="1163"/>
      <c s="1163"/>
      <c s="1163"/>
      <c s="1163"/>
      <c s="1639"/>
      <c s="1163"/>
      <c s="1163"/>
      <c s="547"/>
      <c s="1163"/>
      <c s="1163"/>
      <c s="1163"/>
      <c s="1163"/>
      <c s="1163"/>
      <c s="1635"/>
      <c s="569"/>
      <c s="569"/>
      <c s="569"/>
      <c s="569"/>
      <c s="1644">
        <v>11</v>
      </c>
    </row>
    <row r="203" spans="1:32" s="1644" customFormat="1" ht="11.55" customHeight="1">
      <c r="A203" s="990"/>
      <c s="1639"/>
      <c s="1639"/>
      <c s="354"/>
      <c r="K203" s="1163"/>
      <c s="1639"/>
      <c s="1639"/>
      <c s="1163"/>
      <c s="1163"/>
      <c s="1163"/>
      <c s="1163"/>
      <c s="1639"/>
      <c s="1163"/>
      <c s="1163"/>
      <c s="547"/>
      <c s="1163"/>
      <c s="1163"/>
      <c s="1163"/>
      <c s="1163"/>
      <c s="1163"/>
      <c s="1635"/>
      <c s="569"/>
      <c s="569"/>
      <c s="569"/>
      <c s="569"/>
      <c s="1644">
        <v>11</v>
      </c>
    </row>
    <row r="204" spans="1:32" s="1644" customFormat="1" ht="11.55" customHeight="1">
      <c r="A204" s="990"/>
      <c s="1639"/>
      <c s="1639"/>
      <c s="354"/>
      <c r="K204" s="1163"/>
      <c s="1639"/>
      <c s="1639"/>
      <c s="1163"/>
      <c s="1163"/>
      <c s="1163"/>
      <c s="1163"/>
      <c s="1639"/>
      <c s="1163"/>
      <c s="1163"/>
      <c s="547"/>
      <c s="1163"/>
      <c s="1163"/>
      <c s="1163"/>
      <c s="1163"/>
      <c s="1163"/>
      <c s="1635"/>
      <c s="569"/>
      <c s="569"/>
      <c s="569"/>
      <c s="569"/>
      <c s="1644">
        <v>11</v>
      </c>
    </row>
    <row r="205" spans="1:32" s="1644" customFormat="1" ht="11.55" customHeight="1">
      <c r="A205" s="990"/>
      <c s="1639"/>
      <c s="1639"/>
      <c s="354"/>
      <c r="K205" s="1163"/>
      <c s="1639"/>
      <c s="1639"/>
      <c s="1163"/>
      <c s="1163"/>
      <c s="1163"/>
      <c s="1163"/>
      <c s="1639"/>
      <c s="1163"/>
      <c s="1163"/>
      <c s="547"/>
      <c s="1163"/>
      <c s="1163"/>
      <c s="1163"/>
      <c s="1163"/>
      <c s="1163"/>
      <c s="1635"/>
      <c s="569"/>
      <c s="569"/>
      <c s="569"/>
      <c s="569"/>
      <c s="1644">
        <v>11</v>
      </c>
    </row>
    <row r="206" spans="1:32" s="1644" customFormat="1" ht="11.55" customHeight="1">
      <c r="A206" s="990"/>
      <c s="1639"/>
      <c s="1639"/>
      <c s="354"/>
      <c r="K206" s="1163"/>
      <c s="1639"/>
      <c s="1639"/>
      <c s="1163"/>
      <c s="1163"/>
      <c s="1163"/>
      <c s="1163"/>
      <c s="1639"/>
      <c s="1163"/>
      <c s="1163"/>
      <c s="547"/>
      <c s="1163"/>
      <c s="1163"/>
      <c s="1163"/>
      <c s="1163"/>
      <c s="1163"/>
      <c s="1635"/>
      <c s="569"/>
      <c s="569"/>
      <c s="569"/>
      <c s="569"/>
      <c s="1644">
        <v>11</v>
      </c>
    </row>
    <row r="207" spans="1:32" s="1644" customFormat="1" ht="11.55" customHeight="1">
      <c r="A207" s="990"/>
      <c s="1639"/>
      <c s="1639"/>
      <c s="354"/>
      <c r="K207" s="1163"/>
      <c s="1639"/>
      <c s="1639"/>
      <c s="1163"/>
      <c s="1163"/>
      <c s="1163"/>
      <c s="1163"/>
      <c s="1639"/>
      <c s="1163"/>
      <c s="1163"/>
      <c s="547"/>
      <c s="1163"/>
      <c s="1163"/>
      <c s="1163"/>
      <c s="1163"/>
      <c s="1163"/>
      <c s="1635"/>
      <c s="569"/>
      <c s="569"/>
      <c s="569"/>
      <c s="569"/>
      <c s="1644">
        <v>11</v>
      </c>
    </row>
    <row r="208" spans="1:32" s="1644" customFormat="1" ht="11.55" customHeight="1">
      <c r="A208" s="990"/>
      <c s="1639"/>
      <c s="1639"/>
      <c s="354"/>
      <c r="K208" s="1163"/>
      <c s="1639"/>
      <c s="1639"/>
      <c s="1163"/>
      <c s="1163"/>
      <c s="1163"/>
      <c s="1163"/>
      <c s="1639"/>
      <c s="1163"/>
      <c s="1163"/>
      <c s="547"/>
      <c s="1163"/>
      <c s="1163"/>
      <c s="1163"/>
      <c s="1163"/>
      <c s="1163"/>
      <c s="1635"/>
      <c s="569"/>
      <c s="569"/>
      <c s="569"/>
      <c s="569"/>
      <c s="1644">
        <v>11</v>
      </c>
    </row>
    <row r="209" spans="1:32" s="1644" customFormat="1" ht="11.55" customHeight="1">
      <c r="A209" s="990"/>
      <c s="1639"/>
      <c s="1639"/>
      <c s="354"/>
      <c r="K209" s="1163"/>
      <c s="1639"/>
      <c s="1639"/>
      <c s="1163"/>
      <c s="1163"/>
      <c s="1163"/>
      <c s="1163"/>
      <c s="1639"/>
      <c s="1163"/>
      <c s="1163"/>
      <c s="547"/>
      <c s="1163"/>
      <c s="1163"/>
      <c s="1163"/>
      <c s="1163"/>
      <c s="1163"/>
      <c s="1635"/>
      <c s="569"/>
      <c s="569"/>
      <c s="569"/>
      <c s="569"/>
      <c s="1644">
        <v>11</v>
      </c>
    </row>
    <row r="210" spans="1:32" s="1644" customFormat="1" ht="11.55" customHeight="1">
      <c r="A210" s="990"/>
      <c s="1639"/>
      <c s="1639"/>
      <c s="354"/>
      <c r="K210" s="1163"/>
      <c s="1639"/>
      <c s="1639"/>
      <c s="1163"/>
      <c s="1163"/>
      <c s="1163"/>
      <c s="1163"/>
      <c s="1639"/>
      <c s="1163"/>
      <c s="1163"/>
      <c s="547"/>
      <c s="1163"/>
      <c s="1163"/>
      <c s="1163"/>
      <c s="1163"/>
      <c s="1163"/>
      <c s="1635"/>
      <c s="569"/>
      <c s="569"/>
      <c s="569"/>
      <c s="569"/>
      <c s="1644">
        <v>11</v>
      </c>
    </row>
    <row r="211" spans="1:32" s="1644" customFormat="1" ht="11.55" customHeight="1">
      <c r="A211" s="990"/>
      <c s="1639"/>
      <c s="1639"/>
      <c s="354"/>
      <c r="K211" s="1163"/>
      <c s="1639"/>
      <c s="1639"/>
      <c s="1163"/>
      <c s="1163"/>
      <c s="1163"/>
      <c s="1163"/>
      <c s="1639"/>
      <c s="1163"/>
      <c s="1163"/>
      <c s="547"/>
      <c s="1163"/>
      <c s="1163"/>
      <c s="1163"/>
      <c s="1163"/>
      <c s="1163"/>
      <c s="1635"/>
      <c s="569"/>
      <c s="569"/>
      <c s="569"/>
      <c s="569"/>
      <c s="1644">
        <v>11</v>
      </c>
    </row>
    <row r="212" spans="1:32" s="1644" customFormat="1" ht="11.55" customHeight="1">
      <c r="A212" s="990"/>
      <c s="1639"/>
      <c s="1639"/>
      <c s="354"/>
      <c r="K212" s="1163"/>
      <c s="1639"/>
      <c s="1639"/>
      <c s="1163"/>
      <c s="1163"/>
      <c s="1163"/>
      <c s="1163"/>
      <c s="1639"/>
      <c s="1163"/>
      <c s="1163"/>
      <c s="547"/>
      <c s="1163"/>
      <c s="1163"/>
      <c s="1163"/>
      <c s="1163"/>
      <c s="1163"/>
      <c s="1635"/>
      <c s="569"/>
      <c s="569"/>
      <c s="569"/>
      <c s="569"/>
      <c s="1644">
        <v>11</v>
      </c>
    </row>
    <row r="213" spans="1:32" s="1644" customFormat="1" ht="11.55" customHeight="1">
      <c r="A213" s="990"/>
      <c s="1639"/>
      <c s="1639"/>
      <c s="354"/>
      <c r="K213" s="1163"/>
      <c s="1639"/>
      <c s="1639"/>
      <c s="1163"/>
      <c s="1163"/>
      <c s="1163"/>
      <c s="1163"/>
      <c s="1639"/>
      <c s="1163"/>
      <c s="1163"/>
      <c s="547"/>
      <c s="1163"/>
      <c s="1163"/>
      <c s="1163"/>
      <c s="1163"/>
      <c s="1163"/>
      <c s="1635"/>
      <c s="569"/>
      <c s="569"/>
      <c s="569"/>
      <c s="569"/>
      <c s="1644">
        <v>11</v>
      </c>
    </row>
    <row r="214" spans="1:32" s="1644" customFormat="1" ht="11.55" customHeight="1">
      <c r="A214" s="990"/>
      <c s="1639"/>
      <c s="1639"/>
      <c s="354"/>
      <c r="K214" s="1163"/>
      <c s="1639"/>
      <c s="1639"/>
      <c s="1163"/>
      <c s="1163"/>
      <c s="1163"/>
      <c s="1163"/>
      <c s="1639"/>
      <c s="1163"/>
      <c s="1163"/>
      <c s="547"/>
      <c s="1163"/>
      <c s="1163"/>
      <c s="1163"/>
      <c s="1163"/>
      <c s="1163"/>
      <c s="1635"/>
      <c s="569"/>
      <c s="569"/>
      <c s="569"/>
      <c s="569"/>
      <c s="1644">
        <v>11</v>
      </c>
    </row>
    <row r="215" spans="1:32" s="1644" customFormat="1" ht="11.55" customHeight="1">
      <c r="A215" s="990"/>
      <c s="1639"/>
      <c s="1639"/>
      <c s="354"/>
      <c r="K215" s="1163"/>
      <c s="1639"/>
      <c s="1639"/>
      <c s="1163"/>
      <c s="1163"/>
      <c s="1163"/>
      <c s="1163"/>
      <c s="1639"/>
      <c s="1163"/>
      <c s="1163"/>
      <c s="547"/>
      <c s="1163"/>
      <c s="1163"/>
      <c s="1163"/>
      <c s="1163"/>
      <c s="1163"/>
      <c s="1635"/>
      <c s="569"/>
      <c s="569"/>
      <c s="569"/>
      <c s="569"/>
      <c s="1644">
        <v>11</v>
      </c>
    </row>
    <row r="216" spans="1:32" s="1644" customFormat="1" ht="11.55" customHeight="1">
      <c r="A216" s="990"/>
      <c s="1639"/>
      <c s="1639"/>
      <c s="354"/>
      <c r="K216" s="1163"/>
      <c s="1639"/>
      <c s="1639"/>
      <c s="1163"/>
      <c s="1163"/>
      <c s="1163"/>
      <c s="1163"/>
      <c s="1639"/>
      <c s="1163"/>
      <c s="1163"/>
      <c s="547"/>
      <c s="1163"/>
      <c s="1163"/>
      <c s="1163"/>
      <c s="1163"/>
      <c s="1163"/>
      <c s="1635"/>
      <c s="569"/>
      <c s="569"/>
      <c s="569"/>
      <c s="569"/>
      <c s="1644">
        <v>11</v>
      </c>
    </row>
    <row r="217" spans="1:32" s="1644" customFormat="1" ht="11.55" customHeight="1">
      <c r="A217" s="990"/>
      <c s="1639"/>
      <c s="1639"/>
      <c s="354"/>
      <c r="K217" s="1163"/>
      <c s="1639"/>
      <c s="1639"/>
      <c s="1163"/>
      <c s="1163"/>
      <c s="1163"/>
      <c s="1163"/>
      <c s="1639"/>
      <c s="1163"/>
      <c s="1163"/>
      <c s="547"/>
      <c s="1163"/>
      <c s="1163"/>
      <c s="1163"/>
      <c s="1163"/>
      <c s="1163"/>
      <c s="1635"/>
      <c s="569"/>
      <c s="569"/>
      <c s="569"/>
      <c s="569"/>
      <c s="1644">
        <v>11</v>
      </c>
    </row>
    <row r="218" spans="1:32" s="1644" customFormat="1" ht="11.55" customHeight="1">
      <c r="A218" s="990"/>
      <c s="1639"/>
      <c s="1639"/>
      <c s="354"/>
      <c r="K218" s="1163"/>
      <c s="1639"/>
      <c s="1639"/>
      <c s="1163"/>
      <c s="1163"/>
      <c s="1163"/>
      <c s="1163"/>
      <c s="1639"/>
      <c s="1163"/>
      <c s="1163"/>
      <c s="547"/>
      <c s="1163"/>
      <c s="1163"/>
      <c s="1163"/>
      <c s="1163"/>
      <c s="1163"/>
      <c s="1635"/>
      <c s="569"/>
      <c s="569"/>
      <c s="569"/>
      <c s="569"/>
      <c s="1644">
        <v>11</v>
      </c>
    </row>
    <row r="219" spans="1:32" s="1644" customFormat="1" ht="11.55" customHeight="1">
      <c r="A219" s="990"/>
      <c s="1639"/>
      <c s="1639"/>
      <c s="354"/>
      <c r="K219" s="1163"/>
      <c s="1639"/>
      <c s="1639"/>
      <c s="1163"/>
      <c s="1163"/>
      <c s="1163"/>
      <c s="1163"/>
      <c s="1639"/>
      <c s="1163"/>
      <c s="1163"/>
      <c s="547"/>
      <c s="1163"/>
      <c s="1163"/>
      <c s="1163"/>
      <c s="1163"/>
      <c s="1163"/>
      <c s="1635"/>
      <c s="569"/>
      <c s="569"/>
      <c s="569"/>
      <c s="569"/>
      <c s="1644">
        <v>11</v>
      </c>
    </row>
    <row r="220" spans="1:32" s="1644" customFormat="1" ht="11.55" customHeight="1">
      <c r="A220" s="990"/>
      <c s="1639"/>
      <c s="1639"/>
      <c s="354"/>
      <c r="K220" s="1163"/>
      <c s="1639"/>
      <c s="1639"/>
      <c s="1163"/>
      <c s="1163"/>
      <c s="1163"/>
      <c s="1163"/>
      <c s="1639"/>
      <c s="1163"/>
      <c s="1163"/>
      <c s="547"/>
      <c s="1163"/>
      <c s="1163"/>
      <c s="1163"/>
      <c s="1163"/>
      <c s="1163"/>
      <c s="1635"/>
      <c s="569"/>
      <c s="569"/>
      <c s="569"/>
      <c s="569"/>
      <c s="1644">
        <v>11</v>
      </c>
    </row>
    <row r="221" spans="1:32" s="1644" customFormat="1" ht="11.55" customHeight="1">
      <c r="A221" s="990"/>
      <c s="1639"/>
      <c s="1639"/>
      <c s="354"/>
      <c r="K221" s="1163"/>
      <c s="1639"/>
      <c s="1639"/>
      <c s="1163"/>
      <c s="1163"/>
      <c s="1163"/>
      <c s="1163"/>
      <c s="1639"/>
      <c s="1163"/>
      <c s="1163"/>
      <c s="547"/>
      <c s="1163"/>
      <c s="1163"/>
      <c s="1163"/>
      <c s="1163"/>
      <c s="1163"/>
      <c s="1635"/>
      <c s="569"/>
      <c s="569"/>
      <c s="569"/>
      <c s="569"/>
      <c s="1644">
        <v>11</v>
      </c>
    </row>
    <row r="222" spans="1:32" s="1644" customFormat="1" ht="11.55" customHeight="1">
      <c r="A222" s="990"/>
      <c s="1639"/>
      <c s="1639"/>
      <c s="354"/>
      <c r="K222" s="1163"/>
      <c s="1639"/>
      <c s="1639"/>
      <c s="1163"/>
      <c s="1163"/>
      <c s="1163"/>
      <c s="1163"/>
      <c s="1639"/>
      <c s="1163"/>
      <c s="1163"/>
      <c s="547"/>
      <c s="1163"/>
      <c s="1163"/>
      <c s="1163"/>
      <c s="1163"/>
      <c s="1163"/>
      <c s="1635"/>
      <c s="569"/>
      <c s="569"/>
      <c s="569"/>
      <c s="569"/>
      <c s="1644">
        <v>11</v>
      </c>
    </row>
    <row r="223" spans="1:32" s="1644" customFormat="1" ht="11.55" customHeight="1">
      <c r="A223" s="990"/>
      <c s="1639"/>
      <c s="1639"/>
      <c s="354"/>
      <c r="K223" s="1163"/>
      <c s="1639"/>
      <c s="1639"/>
      <c s="1163"/>
      <c s="1163"/>
      <c s="1163"/>
      <c s="1163"/>
      <c s="1639"/>
      <c s="1163"/>
      <c s="1163"/>
      <c s="547"/>
      <c s="1163"/>
      <c s="1163"/>
      <c s="1163"/>
      <c s="1163"/>
      <c s="1163"/>
      <c s="1635"/>
      <c s="569"/>
      <c s="569"/>
      <c s="569"/>
      <c s="569"/>
      <c s="1644">
        <v>11</v>
      </c>
    </row>
    <row r="224" spans="1:32" s="1644" customFormat="1" ht="11.55" customHeight="1">
      <c r="A224" s="990"/>
      <c s="1639"/>
      <c s="1639"/>
      <c s="354"/>
      <c r="K224" s="1163"/>
      <c s="1639"/>
      <c s="1639"/>
      <c s="1163"/>
      <c s="1163"/>
      <c s="1163"/>
      <c s="1163"/>
      <c s="1639"/>
      <c s="1163"/>
      <c s="1163"/>
      <c s="547"/>
      <c s="1163"/>
      <c s="1163"/>
      <c s="1163"/>
      <c s="1163"/>
      <c s="1163"/>
      <c s="1635"/>
      <c s="569"/>
      <c s="569"/>
      <c s="569"/>
      <c s="569"/>
      <c s="1644">
        <v>11</v>
      </c>
    </row>
    <row r="225" spans="1:32" s="1644" customFormat="1" ht="11.55" customHeight="1">
      <c r="A225" s="990"/>
      <c s="1639"/>
      <c s="1639"/>
      <c s="354"/>
      <c r="K225" s="1163"/>
      <c s="1639"/>
      <c s="1639"/>
      <c s="1163"/>
      <c s="1163"/>
      <c s="1163"/>
      <c s="1163"/>
      <c s="1639"/>
      <c s="1163"/>
      <c s="1163"/>
      <c s="547"/>
      <c s="1163"/>
      <c s="1163"/>
      <c s="1163"/>
      <c s="1163"/>
      <c s="1163"/>
      <c s="1635"/>
      <c s="569"/>
      <c s="569"/>
      <c s="569"/>
      <c s="569"/>
      <c s="1644">
        <v>11</v>
      </c>
    </row>
    <row r="226" spans="1:32" s="1644" customFormat="1" ht="11.55" customHeight="1">
      <c r="A226" s="990"/>
      <c s="1639"/>
      <c s="1639"/>
      <c s="354"/>
      <c r="K226" s="1163"/>
      <c s="1639"/>
      <c s="1639"/>
      <c s="1163"/>
      <c s="1163"/>
      <c s="1163"/>
      <c s="1163"/>
      <c s="1639"/>
      <c s="1163"/>
      <c s="1163"/>
      <c s="547"/>
      <c s="1163"/>
      <c s="1163"/>
      <c s="1163"/>
      <c s="1163"/>
      <c s="1163"/>
      <c s="1635"/>
      <c s="569"/>
      <c s="569"/>
      <c s="569"/>
      <c s="569"/>
      <c s="1644">
        <v>11</v>
      </c>
    </row>
    <row r="227" spans="1:32" s="1644" customFormat="1" ht="11.55" customHeight="1">
      <c r="A227" s="990"/>
      <c s="1639"/>
      <c s="1639"/>
      <c s="354"/>
      <c r="K227" s="1163"/>
      <c s="1639"/>
      <c s="1639"/>
      <c s="1163"/>
      <c s="1163"/>
      <c s="1163"/>
      <c s="1163"/>
      <c s="1639"/>
      <c s="1163"/>
      <c s="1163"/>
      <c s="547"/>
      <c s="1163"/>
      <c s="1163"/>
      <c s="1163"/>
      <c s="1163"/>
      <c s="1163"/>
      <c s="1635"/>
      <c s="569"/>
      <c s="569"/>
      <c s="569"/>
      <c s="569"/>
      <c s="1644">
        <v>11</v>
      </c>
    </row>
    <row r="228" spans="1:32" s="1644" customFormat="1" ht="11.55" customHeight="1">
      <c r="A228" s="990"/>
      <c s="1639"/>
      <c s="1639"/>
      <c s="354"/>
      <c r="K228" s="1163"/>
      <c s="1639"/>
      <c s="1639"/>
      <c s="1163"/>
      <c s="1163"/>
      <c s="1163"/>
      <c s="1163"/>
      <c s="1639"/>
      <c s="1163"/>
      <c s="1163"/>
      <c s="547"/>
      <c s="1163"/>
      <c s="1163"/>
      <c s="1163"/>
      <c s="1163"/>
      <c s="1163"/>
      <c s="1635"/>
      <c s="569"/>
      <c s="569"/>
      <c s="569"/>
      <c s="569"/>
      <c s="1644">
        <v>11</v>
      </c>
    </row>
    <row r="229" spans="1:32" s="1644" customFormat="1" ht="11.55" customHeight="1">
      <c r="A229" s="990"/>
      <c s="1639"/>
      <c s="1639"/>
      <c s="354"/>
      <c r="K229" s="1163"/>
      <c s="1639"/>
      <c s="1639"/>
      <c s="1163"/>
      <c s="1163"/>
      <c s="1163"/>
      <c s="1163"/>
      <c s="1639"/>
      <c s="1163"/>
      <c s="1163"/>
      <c s="547"/>
      <c s="1163"/>
      <c s="1163"/>
      <c s="1163"/>
      <c s="1163"/>
      <c s="1163"/>
      <c s="1635"/>
      <c s="569"/>
      <c s="569"/>
      <c s="569"/>
      <c s="569"/>
      <c s="1644">
        <v>11</v>
      </c>
    </row>
    <row r="230" spans="1:32" s="1644" customFormat="1" ht="11.55" customHeight="1">
      <c r="A230" s="990"/>
      <c s="1639"/>
      <c s="1639"/>
      <c s="354"/>
      <c r="K230" s="1163"/>
      <c s="1639"/>
      <c s="1639"/>
      <c s="1163"/>
      <c s="1163"/>
      <c s="1163"/>
      <c s="1163"/>
      <c s="1639"/>
      <c s="1163"/>
      <c s="1163"/>
      <c s="547"/>
      <c s="1163"/>
      <c s="1163"/>
      <c s="1163"/>
      <c s="1163"/>
      <c s="1163"/>
      <c s="1635"/>
      <c s="569"/>
      <c s="569"/>
      <c s="569"/>
      <c s="569"/>
      <c s="1644">
        <v>11</v>
      </c>
    </row>
    <row r="231" spans="1:32" s="1644" customFormat="1" ht="11.55" customHeight="1">
      <c r="A231" s="990"/>
      <c s="1639"/>
      <c s="1639"/>
      <c s="354"/>
      <c r="K231" s="1163"/>
      <c s="1639"/>
      <c s="1639"/>
      <c s="1163"/>
      <c s="1163"/>
      <c s="1163"/>
      <c s="1163"/>
      <c s="1639"/>
      <c s="1163"/>
      <c s="1163"/>
      <c s="547"/>
      <c s="1163"/>
      <c s="1163"/>
      <c s="1163"/>
      <c s="1163"/>
      <c s="1163"/>
      <c s="1635"/>
      <c s="569"/>
      <c s="569"/>
      <c s="569"/>
      <c s="569"/>
      <c s="1644">
        <v>11</v>
      </c>
    </row>
    <row r="232" spans="1:32" s="1644" customFormat="1" ht="11.55" customHeight="1">
      <c r="A232" s="990"/>
      <c s="1639"/>
      <c s="1639"/>
      <c s="354"/>
      <c r="K232" s="1163"/>
      <c s="1639"/>
      <c s="1639"/>
      <c s="1163"/>
      <c s="1163"/>
      <c s="1163"/>
      <c s="1163"/>
      <c s="1639"/>
      <c s="1163"/>
      <c s="1163"/>
      <c s="547"/>
      <c s="1163"/>
      <c s="1163"/>
      <c s="1163"/>
      <c s="1163"/>
      <c s="1163"/>
      <c s="1635"/>
      <c s="569"/>
      <c s="569"/>
      <c s="569"/>
      <c s="569"/>
      <c s="1644">
        <v>11</v>
      </c>
    </row>
    <row r="233" spans="1:32" s="1644" customFormat="1" ht="11.55" customHeight="1">
      <c r="A233" s="990"/>
      <c s="1639"/>
      <c s="1639"/>
      <c s="354"/>
      <c r="K233" s="1163"/>
      <c s="1639"/>
      <c s="1639"/>
      <c s="1163"/>
      <c s="1163"/>
      <c s="1163"/>
      <c s="1163"/>
      <c s="1639"/>
      <c s="1163"/>
      <c s="1163"/>
      <c s="547"/>
      <c s="1163"/>
      <c s="1163"/>
      <c s="1163"/>
      <c s="1163"/>
      <c s="1163"/>
      <c s="1635"/>
      <c s="569"/>
      <c s="569"/>
      <c s="569"/>
      <c s="569"/>
      <c s="1644">
        <v>11</v>
      </c>
    </row>
    <row r="234" spans="1:32" s="1644" customFormat="1" ht="11.55" customHeight="1">
      <c r="A234" s="990"/>
      <c s="1639"/>
      <c s="1639"/>
      <c s="354"/>
      <c r="K234" s="1163"/>
      <c s="1639"/>
      <c s="1639"/>
      <c s="1163"/>
      <c s="1163"/>
      <c s="1163"/>
      <c s="1163"/>
      <c s="1639"/>
      <c s="1163"/>
      <c s="1163"/>
      <c s="547"/>
      <c s="1163"/>
      <c s="1163"/>
      <c s="1163"/>
      <c s="1163"/>
      <c s="1163"/>
      <c s="1635"/>
      <c s="569"/>
      <c s="569"/>
      <c s="569"/>
      <c s="569"/>
      <c s="1644">
        <v>11</v>
      </c>
    </row>
    <row r="235" spans="1:32" s="1644" customFormat="1" ht="11.55" customHeight="1">
      <c r="A235" s="990"/>
      <c s="1639"/>
      <c s="1639"/>
      <c s="354"/>
      <c r="K235" s="1163"/>
      <c s="1639"/>
      <c s="1639"/>
      <c s="1163"/>
      <c s="1163"/>
      <c s="1163"/>
      <c s="1163"/>
      <c s="1639"/>
      <c s="1163"/>
      <c s="1163"/>
      <c s="547"/>
      <c s="1163"/>
      <c s="1163"/>
      <c s="1163"/>
      <c s="1163"/>
      <c s="1163"/>
      <c s="1635"/>
      <c s="569"/>
      <c s="569"/>
      <c s="569"/>
      <c s="569"/>
      <c s="1644">
        <v>11</v>
      </c>
    </row>
    <row r="236" spans="1:32" s="1644" customFormat="1" ht="11.55" customHeight="1">
      <c r="A236" s="990"/>
      <c s="1639"/>
      <c s="1639"/>
      <c s="354"/>
      <c r="K236" s="1163"/>
      <c s="1639"/>
      <c s="1639"/>
      <c s="1163"/>
      <c s="1163"/>
      <c s="1163"/>
      <c s="1163"/>
      <c s="1639"/>
      <c s="1163"/>
      <c s="1163"/>
      <c s="547"/>
      <c s="1163"/>
      <c s="1163"/>
      <c s="1163"/>
      <c s="1163"/>
      <c s="1163"/>
      <c s="1635"/>
      <c s="569"/>
      <c s="569"/>
      <c s="569"/>
      <c s="569"/>
      <c s="1644">
        <v>11</v>
      </c>
    </row>
    <row r="237" spans="1:32" s="1644" customFormat="1" ht="11.55" customHeight="1">
      <c r="A237" s="990"/>
      <c s="1639"/>
      <c s="1639"/>
      <c s="354"/>
      <c r="K237" s="1163"/>
      <c s="1639"/>
      <c s="1639"/>
      <c s="1163"/>
      <c s="1163"/>
      <c s="1163"/>
      <c s="1163"/>
      <c s="1639"/>
      <c s="1163"/>
      <c s="1163"/>
      <c s="547"/>
      <c s="1163"/>
      <c s="1163"/>
      <c s="1163"/>
      <c s="1163"/>
      <c s="1163"/>
      <c s="1635"/>
      <c s="569"/>
      <c s="569"/>
      <c s="569"/>
      <c s="569"/>
      <c s="1644">
        <v>11</v>
      </c>
    </row>
    <row r="238" spans="1:32" s="1644" customFormat="1" ht="11.55" customHeight="1">
      <c r="A238" s="990"/>
      <c s="1639"/>
      <c s="1639"/>
      <c s="354"/>
      <c r="K238" s="1163"/>
      <c s="1639"/>
      <c s="1639"/>
      <c s="1163"/>
      <c s="1163"/>
      <c s="1163"/>
      <c s="1163"/>
      <c s="1639"/>
      <c s="1163"/>
      <c s="1163"/>
      <c s="547"/>
      <c s="1163"/>
      <c s="1163"/>
      <c s="1163"/>
      <c s="1163"/>
      <c s="1163"/>
      <c s="1635"/>
      <c s="569"/>
      <c s="569"/>
      <c s="569"/>
      <c s="569"/>
      <c s="1644">
        <v>11</v>
      </c>
    </row>
    <row r="239" spans="1:32" s="1644" customFormat="1" ht="11.55" customHeight="1">
      <c r="A239" s="990"/>
      <c s="1639"/>
      <c s="1639"/>
      <c s="354"/>
      <c r="K239" s="1163"/>
      <c s="1639"/>
      <c s="1639"/>
      <c s="1163"/>
      <c s="1163"/>
      <c s="1163"/>
      <c s="1163"/>
      <c s="1639"/>
      <c s="1163"/>
      <c s="1163"/>
      <c s="547"/>
      <c s="1163"/>
      <c s="1163"/>
      <c s="1163"/>
      <c s="1163"/>
      <c s="1163"/>
      <c s="1635"/>
      <c s="569"/>
      <c s="569"/>
      <c s="569"/>
      <c s="569"/>
      <c s="1644">
        <v>11</v>
      </c>
    </row>
    <row r="240" spans="1:32" s="1644" customFormat="1" ht="11.55" customHeight="1">
      <c r="A240" s="990"/>
      <c s="1639"/>
      <c s="1639"/>
      <c s="354"/>
      <c r="K240" s="1163"/>
      <c s="1639"/>
      <c s="1639"/>
      <c s="1163"/>
      <c s="1163"/>
      <c s="1163"/>
      <c s="1163"/>
      <c s="1639"/>
      <c s="1163"/>
      <c s="1163"/>
      <c s="547"/>
      <c s="1163"/>
      <c s="1163"/>
      <c s="1163"/>
      <c s="1163"/>
      <c s="1163"/>
      <c s="1635"/>
      <c s="569"/>
      <c s="569"/>
      <c s="569"/>
      <c s="569"/>
      <c s="1644">
        <v>11</v>
      </c>
    </row>
    <row r="241" spans="1:32" s="1644" customFormat="1" ht="11.55" customHeight="1">
      <c r="A241" s="990"/>
      <c s="1639"/>
      <c s="1639"/>
      <c s="354"/>
      <c r="K241" s="1163"/>
      <c s="1639"/>
      <c s="1639"/>
      <c s="1163"/>
      <c s="1163"/>
      <c s="1163"/>
      <c s="1163"/>
      <c s="1639"/>
      <c s="1163"/>
      <c s="1163"/>
      <c s="547"/>
      <c s="1163"/>
      <c s="1163"/>
      <c s="1163"/>
      <c s="1163"/>
      <c s="1163"/>
      <c s="1635"/>
      <c s="569"/>
      <c s="569"/>
      <c s="569"/>
      <c s="569"/>
      <c s="1644">
        <v>11</v>
      </c>
    </row>
    <row r="242" spans="1:32" s="1644" customFormat="1" ht="11.55" customHeight="1">
      <c r="A242" s="990"/>
      <c s="1639"/>
      <c s="1639"/>
      <c s="354"/>
      <c r="K242" s="1163"/>
      <c s="1639"/>
      <c s="1639"/>
      <c s="1163"/>
      <c s="1163"/>
      <c s="1163"/>
      <c s="1163"/>
      <c s="1639"/>
      <c s="1163"/>
      <c s="1163"/>
      <c s="547"/>
      <c s="1163"/>
      <c s="1163"/>
      <c s="1163"/>
      <c s="1163"/>
      <c s="1163"/>
      <c s="1635"/>
      <c s="569"/>
      <c s="569"/>
      <c s="569"/>
      <c s="569"/>
      <c s="1644">
        <v>11</v>
      </c>
    </row>
    <row r="243" spans="1:32" s="1644" customFormat="1" ht="11.55" customHeight="1">
      <c r="A243" s="990"/>
      <c s="1639"/>
      <c s="1639"/>
      <c s="354"/>
      <c r="K243" s="1163"/>
      <c s="1639"/>
      <c s="1639"/>
      <c s="1163"/>
      <c s="1163"/>
      <c s="1163"/>
      <c s="1163"/>
      <c s="1639"/>
      <c s="1163"/>
      <c s="1163"/>
      <c s="547"/>
      <c s="1163"/>
      <c s="1163"/>
      <c s="1163"/>
      <c s="1163"/>
      <c s="1163"/>
      <c s="1635"/>
      <c s="569"/>
      <c s="569"/>
      <c s="569"/>
      <c s="569"/>
      <c s="1644">
        <v>11</v>
      </c>
    </row>
    <row r="244" spans="1:32" s="1644" customFormat="1" ht="11.55" customHeight="1">
      <c r="A244" s="990"/>
      <c s="1639"/>
      <c s="1639"/>
      <c s="354"/>
      <c r="K244" s="1163"/>
      <c s="1639"/>
      <c s="1639"/>
      <c s="1163"/>
      <c s="1163"/>
      <c s="1163"/>
      <c s="1163"/>
      <c s="1639"/>
      <c s="1163"/>
      <c s="1163"/>
      <c s="547"/>
      <c s="1163"/>
      <c s="1163"/>
      <c s="1163"/>
      <c s="1163"/>
      <c s="1163"/>
      <c s="1635"/>
      <c s="569"/>
      <c s="569"/>
      <c s="569"/>
      <c s="569"/>
      <c s="1644">
        <v>11</v>
      </c>
    </row>
    <row r="245" spans="1:32" s="1644" customFormat="1" ht="11.55" customHeight="1">
      <c r="A245" s="990"/>
      <c s="1639"/>
      <c s="1639"/>
      <c s="354"/>
      <c r="K245" s="1163"/>
      <c s="1639"/>
      <c s="1639"/>
      <c s="1163"/>
      <c s="1163"/>
      <c s="1163"/>
      <c s="1163"/>
      <c s="1639"/>
      <c s="1163"/>
      <c s="1163"/>
      <c s="547"/>
      <c s="1163"/>
      <c s="1163"/>
      <c s="1163"/>
      <c s="1163"/>
      <c s="1163"/>
      <c s="1635"/>
      <c s="569"/>
      <c s="569"/>
      <c s="569"/>
      <c s="569"/>
      <c s="1644">
        <v>11</v>
      </c>
    </row>
    <row r="246" spans="1:32" s="1644" customFormat="1" ht="11.55" customHeight="1">
      <c r="A246" s="990"/>
      <c s="1639"/>
      <c s="1639"/>
      <c s="354"/>
      <c r="K246" s="1163"/>
      <c s="1639"/>
      <c s="1639"/>
      <c s="1163"/>
      <c s="1163"/>
      <c s="1163"/>
      <c s="1163"/>
      <c s="1639"/>
      <c s="1163"/>
      <c s="1163"/>
      <c s="547"/>
      <c s="1163"/>
      <c s="1163"/>
      <c s="1163"/>
      <c s="1163"/>
      <c s="1163"/>
      <c s="1635"/>
      <c s="569"/>
      <c s="569"/>
      <c s="569"/>
      <c s="569"/>
      <c s="1644">
        <v>11</v>
      </c>
    </row>
    <row r="247" spans="1:32" s="1644" customFormat="1" ht="11.55" customHeight="1">
      <c r="A247" s="990"/>
      <c s="1639"/>
      <c s="1639"/>
      <c s="354"/>
      <c r="K247" s="1163"/>
      <c s="1639"/>
      <c s="1639"/>
      <c s="1163"/>
      <c s="1163"/>
      <c s="1163"/>
      <c s="1163"/>
      <c s="1639"/>
      <c s="1163"/>
      <c s="1163"/>
      <c s="547"/>
      <c s="1163"/>
      <c s="1163"/>
      <c s="1163"/>
      <c s="1163"/>
      <c s="1163"/>
      <c s="1635"/>
      <c s="569"/>
      <c s="569"/>
      <c s="569"/>
      <c s="569"/>
      <c s="1644">
        <v>11</v>
      </c>
    </row>
    <row r="248" spans="1:32" s="1644" customFormat="1" ht="11.55" customHeight="1">
      <c r="A248" s="990"/>
      <c s="1639"/>
      <c s="1639"/>
      <c s="354"/>
      <c r="K248" s="1163"/>
      <c s="1639"/>
      <c s="1639"/>
      <c s="1163"/>
      <c s="1163"/>
      <c s="1163"/>
      <c s="1163"/>
      <c s="1639"/>
      <c s="1163"/>
      <c s="1163"/>
      <c s="547"/>
      <c s="1163"/>
      <c s="1163"/>
      <c s="1163"/>
      <c s="1163"/>
      <c s="1163"/>
      <c s="1635"/>
      <c s="569"/>
      <c s="569"/>
      <c s="569"/>
      <c s="569"/>
      <c s="1644">
        <v>11</v>
      </c>
    </row>
    <row r="249" spans="1:32" s="1644" customFormat="1" ht="11.55" customHeight="1">
      <c r="A249" s="990"/>
      <c s="1639"/>
      <c s="1639"/>
      <c s="354"/>
      <c r="K249" s="1163"/>
      <c s="1639"/>
      <c s="1639"/>
      <c s="1163"/>
      <c s="1163"/>
      <c s="1163"/>
      <c s="1163"/>
      <c s="1639"/>
      <c s="1163"/>
      <c s="1163"/>
      <c s="547"/>
      <c s="1163"/>
      <c s="1163"/>
      <c s="1163"/>
      <c s="1163"/>
      <c s="1163"/>
      <c s="1635"/>
      <c s="569"/>
      <c s="569"/>
      <c s="569"/>
      <c s="569"/>
      <c s="1644">
        <v>11</v>
      </c>
    </row>
    <row r="250" spans="1:32" s="1644" customFormat="1" ht="11.55" customHeight="1">
      <c r="A250" s="990"/>
      <c s="1639"/>
      <c s="1639"/>
      <c s="354"/>
      <c r="K250" s="1163"/>
      <c s="1639"/>
      <c s="1639"/>
      <c s="1163"/>
      <c s="1163"/>
      <c s="1163"/>
      <c s="1163"/>
      <c s="1639"/>
      <c s="1163"/>
      <c s="1163"/>
      <c s="547"/>
      <c s="1163"/>
      <c s="1163"/>
      <c s="1163"/>
      <c s="1163"/>
      <c s="1163"/>
      <c s="1635"/>
      <c s="569"/>
      <c s="569"/>
      <c s="569"/>
      <c s="569"/>
      <c s="1644">
        <v>11</v>
      </c>
    </row>
    <row r="251" spans="1:32" s="1644" customFormat="1" ht="11.55" customHeight="1">
      <c r="A251" s="990"/>
      <c s="1639"/>
      <c s="1639"/>
      <c s="354"/>
      <c r="K251" s="1163"/>
      <c s="1639"/>
      <c s="1639"/>
      <c s="1163"/>
      <c s="1163"/>
      <c s="1163"/>
      <c s="1163"/>
      <c s="1639"/>
      <c s="1163"/>
      <c s="1163"/>
      <c s="547"/>
      <c s="1163"/>
      <c s="1163"/>
      <c s="1163"/>
      <c s="1163"/>
      <c s="1163"/>
      <c s="1635"/>
      <c s="569"/>
      <c s="569"/>
      <c s="569"/>
      <c s="569"/>
      <c s="1644">
        <v>11</v>
      </c>
    </row>
    <row r="252" spans="1:32" s="1644" customFormat="1" ht="11.55" customHeight="1">
      <c r="A252" s="990"/>
      <c s="1639"/>
      <c s="1639"/>
      <c s="354"/>
      <c r="K252" s="1163"/>
      <c s="1639"/>
      <c s="1639"/>
      <c s="1163"/>
      <c s="1163"/>
      <c s="1163"/>
      <c s="1163"/>
      <c s="1639"/>
      <c s="1163"/>
      <c s="1163"/>
      <c s="547"/>
      <c s="1163"/>
      <c s="1163"/>
      <c s="1163"/>
      <c s="1163"/>
      <c s="1163"/>
      <c s="1635"/>
      <c s="569"/>
      <c s="569"/>
      <c s="569"/>
      <c s="569"/>
      <c s="1644">
        <v>11</v>
      </c>
    </row>
    <row r="253" spans="1:32" s="1644" customFormat="1" ht="11.55" customHeight="1">
      <c r="A253" s="990"/>
      <c s="1639"/>
      <c s="1639"/>
      <c s="354"/>
      <c r="K253" s="1163"/>
      <c s="1639"/>
      <c s="1639"/>
      <c s="1163"/>
      <c s="1163"/>
      <c s="1163"/>
      <c s="1163"/>
      <c s="1639"/>
      <c s="1163"/>
      <c s="1163"/>
      <c s="547"/>
      <c s="1163"/>
      <c s="1163"/>
      <c s="1163"/>
      <c s="1163"/>
      <c s="1163"/>
      <c s="1635"/>
      <c s="569"/>
      <c s="569"/>
      <c s="569"/>
      <c s="569"/>
      <c s="1644">
        <v>11</v>
      </c>
    </row>
    <row r="254" spans="1:32" s="1644" customFormat="1" ht="11.55" customHeight="1">
      <c r="A254" s="990"/>
      <c s="1639"/>
      <c s="1639"/>
      <c s="354"/>
      <c r="K254" s="1163"/>
      <c s="1639"/>
      <c s="1639"/>
      <c s="1163"/>
      <c s="1163"/>
      <c s="1163"/>
      <c s="1163"/>
      <c s="1639"/>
      <c s="1163"/>
      <c s="1163"/>
      <c s="547"/>
      <c s="1163"/>
      <c s="1163"/>
      <c s="1163"/>
      <c s="1163"/>
      <c s="1163"/>
      <c s="1635"/>
      <c s="569"/>
      <c s="569"/>
      <c s="569"/>
      <c s="569"/>
      <c s="1644">
        <v>11</v>
      </c>
    </row>
    <row r="255" spans="1:32" s="1644" customFormat="1" ht="11.55" customHeight="1">
      <c r="A255" s="990"/>
      <c s="1639"/>
      <c s="1639"/>
      <c s="354"/>
      <c r="K255" s="1163"/>
      <c s="1639"/>
      <c s="1639"/>
      <c s="1163"/>
      <c s="1163"/>
      <c s="1163"/>
      <c s="1163"/>
      <c s="1639"/>
      <c s="1163"/>
      <c s="1163"/>
      <c s="547"/>
      <c s="1163"/>
      <c s="1163"/>
      <c s="1163"/>
      <c s="1163"/>
      <c s="1163"/>
      <c s="1635"/>
      <c s="569"/>
      <c s="569"/>
      <c s="569"/>
      <c s="569"/>
      <c s="1644">
        <v>11</v>
      </c>
    </row>
    <row r="256" spans="1:32" s="1644" customFormat="1" ht="11.55" customHeight="1">
      <c r="A256" s="990"/>
      <c s="1639"/>
      <c s="1639"/>
      <c s="354"/>
      <c r="K256" s="1163"/>
      <c s="1639"/>
      <c s="1639"/>
      <c s="1163"/>
      <c s="1163"/>
      <c s="1163"/>
      <c s="1163"/>
      <c s="1639"/>
      <c s="1163"/>
      <c s="1163"/>
      <c s="547"/>
      <c s="1163"/>
      <c s="1163"/>
      <c s="1163"/>
      <c s="1163"/>
      <c s="1163"/>
      <c s="1635"/>
      <c s="569"/>
      <c s="569"/>
      <c s="569"/>
      <c s="569"/>
      <c s="1644">
        <v>11</v>
      </c>
    </row>
    <row r="257" spans="1:32" s="1644" customFormat="1" ht="11.55" customHeight="1">
      <c r="A257" s="990"/>
      <c s="1639"/>
      <c s="1639"/>
      <c s="354"/>
      <c r="K257" s="1163"/>
      <c s="1639"/>
      <c s="1639"/>
      <c s="1163"/>
      <c s="1163"/>
      <c s="1163"/>
      <c s="1163"/>
      <c s="1639"/>
      <c s="1163"/>
      <c s="1163"/>
      <c s="547"/>
      <c s="1163"/>
      <c s="1163"/>
      <c s="1163"/>
      <c s="1163"/>
      <c s="1163"/>
      <c s="1635"/>
      <c s="569"/>
      <c s="569"/>
      <c s="569"/>
      <c s="569"/>
      <c s="1644">
        <v>11</v>
      </c>
    </row>
    <row r="258" spans="1:32" s="1644" customFormat="1" ht="11.55" customHeight="1">
      <c r="A258" s="990"/>
      <c s="1639"/>
      <c s="1639"/>
      <c s="354"/>
      <c r="K258" s="1163"/>
      <c s="1639"/>
      <c s="1639"/>
      <c s="1163"/>
      <c s="1163"/>
      <c s="1163"/>
      <c s="1163"/>
      <c s="1639"/>
      <c s="1163"/>
      <c s="1163"/>
      <c s="547"/>
      <c s="1163"/>
      <c s="1163"/>
      <c s="1163"/>
      <c s="1163"/>
      <c s="1163"/>
      <c s="1635"/>
      <c s="569"/>
      <c s="569"/>
      <c s="569"/>
      <c s="569"/>
      <c s="1644">
        <v>11</v>
      </c>
    </row>
    <row r="259" spans="1:32" s="1644" customFormat="1" ht="11.55" customHeight="1">
      <c r="A259" s="990"/>
      <c s="1639"/>
      <c s="1639"/>
      <c s="354"/>
      <c r="K259" s="1163"/>
      <c s="1639"/>
      <c s="1639"/>
      <c s="1163"/>
      <c s="1163"/>
      <c s="1163"/>
      <c s="1163"/>
      <c s="1639"/>
      <c s="1163"/>
      <c s="1163"/>
      <c s="547"/>
      <c s="1163"/>
      <c s="1163"/>
      <c s="1163"/>
      <c s="1163"/>
      <c s="1163"/>
      <c s="1635"/>
      <c s="569"/>
      <c s="569"/>
      <c s="569"/>
      <c s="569"/>
      <c s="1644">
        <v>11</v>
      </c>
    </row>
    <row r="260" spans="1:32" s="1644" customFormat="1" ht="11.55" customHeight="1">
      <c r="A260" s="990"/>
      <c s="1639"/>
      <c s="1639"/>
      <c s="354"/>
      <c r="K260" s="1163"/>
      <c s="1639"/>
      <c s="1639"/>
      <c s="1163"/>
      <c s="1163"/>
      <c s="1163"/>
      <c s="1163"/>
      <c s="1639"/>
      <c s="1163"/>
      <c s="1163"/>
      <c s="547"/>
      <c s="1163"/>
      <c s="1163"/>
      <c s="1163"/>
      <c s="1163"/>
      <c s="1163"/>
      <c s="1635"/>
      <c s="569"/>
      <c s="569"/>
      <c s="569"/>
      <c s="569"/>
      <c s="1644">
        <v>11</v>
      </c>
    </row>
    <row r="261" spans="1:32" s="1644" customFormat="1" ht="11.55" customHeight="1">
      <c r="A261" s="990"/>
      <c s="1639"/>
      <c s="1639"/>
      <c s="354"/>
      <c r="K261" s="1163"/>
      <c s="1639"/>
      <c s="1639"/>
      <c s="1163"/>
      <c s="1163"/>
      <c s="1163"/>
      <c s="1163"/>
      <c s="1639"/>
      <c s="1163"/>
      <c s="1163"/>
      <c s="547"/>
      <c s="1163"/>
      <c s="1163"/>
      <c s="1163"/>
      <c s="1163"/>
      <c s="1163"/>
      <c s="1635"/>
      <c s="569"/>
      <c s="569"/>
      <c s="569"/>
      <c s="569"/>
      <c s="1644">
        <v>11</v>
      </c>
    </row>
    <row r="262" spans="1:32" s="1644" customFormat="1" ht="11.55" customHeight="1">
      <c r="A262" s="990"/>
      <c s="1639"/>
      <c s="1639"/>
      <c s="354"/>
      <c r="K262" s="1163"/>
      <c s="1639"/>
      <c s="1639"/>
      <c s="1163"/>
      <c s="1163"/>
      <c s="1163"/>
      <c s="1163"/>
      <c s="1639"/>
      <c s="1163"/>
      <c s="1163"/>
      <c s="547"/>
      <c s="1163"/>
      <c s="1163"/>
      <c s="1163"/>
      <c s="1163"/>
      <c s="1163"/>
      <c s="1635"/>
      <c s="569"/>
      <c s="569"/>
      <c s="569"/>
      <c s="569"/>
      <c s="1644">
        <v>11</v>
      </c>
    </row>
    <row r="263" spans="1:32" s="1644" customFormat="1" ht="11.55" customHeight="1">
      <c r="A263" s="990"/>
      <c s="1639"/>
      <c s="1639"/>
      <c s="354"/>
      <c r="K263" s="1163"/>
      <c s="1639"/>
      <c s="1639"/>
      <c s="1163"/>
      <c s="1163"/>
      <c s="1163"/>
      <c s="1163"/>
      <c s="1639"/>
      <c s="1163"/>
      <c s="1163"/>
      <c s="547"/>
      <c s="1163"/>
      <c s="1163"/>
      <c s="1163"/>
      <c s="1163"/>
      <c s="1163"/>
      <c s="1635"/>
      <c s="569"/>
      <c s="569"/>
      <c s="569"/>
      <c s="569"/>
      <c s="1644">
        <v>11</v>
      </c>
    </row>
    <row r="264" spans="1:32" s="1644" customFormat="1" ht="11.55" customHeight="1">
      <c r="A264" s="990"/>
      <c s="1639"/>
      <c s="1639"/>
      <c s="354"/>
      <c r="K264" s="1163"/>
      <c s="1639"/>
      <c s="1639"/>
      <c s="1163"/>
      <c s="1163"/>
      <c s="1163"/>
      <c s="1163"/>
      <c s="1639"/>
      <c s="1163"/>
      <c s="1163"/>
      <c s="547"/>
      <c s="1163"/>
      <c s="1163"/>
      <c s="1163"/>
      <c s="1163"/>
      <c s="1163"/>
      <c s="1635"/>
      <c s="569"/>
      <c s="569"/>
      <c s="569"/>
      <c s="569"/>
      <c s="1644">
        <v>11</v>
      </c>
    </row>
    <row r="265" spans="1:32" s="1644" customFormat="1" ht="11.55" customHeight="1">
      <c r="A265" s="990"/>
      <c s="1639"/>
      <c s="1639"/>
      <c s="354"/>
      <c r="K265" s="1163"/>
      <c s="1639"/>
      <c s="1639"/>
      <c s="1163"/>
      <c s="1163"/>
      <c s="1163"/>
      <c s="1163"/>
      <c s="1639"/>
      <c s="1163"/>
      <c s="1163"/>
      <c s="547"/>
      <c s="1163"/>
      <c s="1163"/>
      <c s="1163"/>
      <c s="1163"/>
      <c s="1163"/>
      <c s="1635"/>
      <c s="569"/>
      <c s="569"/>
      <c s="569"/>
      <c s="569"/>
      <c s="1644">
        <v>11</v>
      </c>
    </row>
    <row r="266" spans="1:32" s="1644" customFormat="1" ht="11.55" customHeight="1">
      <c r="A266" s="990"/>
      <c s="1639"/>
      <c s="1639"/>
      <c s="354"/>
      <c r="K266" s="1163"/>
      <c s="1639"/>
      <c s="1639"/>
      <c s="1163"/>
      <c s="1163"/>
      <c s="1163"/>
      <c s="1163"/>
      <c s="1639"/>
      <c s="1163"/>
      <c s="1163"/>
      <c s="547"/>
      <c s="1163"/>
      <c s="1163"/>
      <c s="1163"/>
      <c s="1163"/>
      <c s="1163"/>
      <c s="1635"/>
      <c s="569"/>
      <c s="569"/>
      <c s="569"/>
      <c s="569"/>
      <c s="1644">
        <v>11</v>
      </c>
    </row>
    <row r="267" spans="1:32" s="1644" customFormat="1" ht="11.55" customHeight="1">
      <c r="A267" s="990"/>
      <c s="1639"/>
      <c s="1639"/>
      <c s="354"/>
      <c r="K267" s="1163"/>
      <c s="1639"/>
      <c s="1639"/>
      <c s="1163"/>
      <c s="1163"/>
      <c s="1163"/>
      <c s="1163"/>
      <c s="1639"/>
      <c s="1163"/>
      <c s="1163"/>
      <c s="547"/>
      <c s="1163"/>
      <c s="1163"/>
      <c s="1163"/>
      <c s="1163"/>
      <c s="1163"/>
      <c s="1635"/>
      <c s="569"/>
      <c s="569"/>
      <c s="569"/>
      <c s="569"/>
      <c s="1644">
        <v>11</v>
      </c>
    </row>
    <row r="268" spans="1:32" s="1644" customFormat="1" ht="11.55" customHeight="1">
      <c r="A268" s="990"/>
      <c s="1639"/>
      <c s="1639"/>
      <c s="354"/>
      <c r="K268" s="1163"/>
      <c s="1639"/>
      <c s="1639"/>
      <c s="1163"/>
      <c s="1163"/>
      <c s="1163"/>
      <c s="1163"/>
      <c s="1639"/>
      <c s="1163"/>
      <c s="1163"/>
      <c s="547"/>
      <c s="1163"/>
      <c s="1163"/>
      <c s="1163"/>
      <c s="1163"/>
      <c s="1163"/>
      <c s="1635"/>
      <c s="569"/>
      <c s="569"/>
      <c s="569"/>
      <c s="569"/>
      <c s="1644">
        <v>11</v>
      </c>
    </row>
    <row r="269" spans="1:32" s="1644" customFormat="1" ht="11.55" customHeight="1">
      <c r="A269" s="990"/>
      <c s="1639"/>
      <c s="1639"/>
      <c s="354"/>
      <c r="K269" s="1163"/>
      <c s="1639"/>
      <c s="1639"/>
      <c s="1163"/>
      <c s="1163"/>
      <c s="1163"/>
      <c s="1163"/>
      <c s="1639"/>
      <c s="1163"/>
      <c s="1163"/>
      <c s="547"/>
      <c s="1163"/>
      <c s="1163"/>
      <c s="1163"/>
      <c s="1163"/>
      <c s="1163"/>
      <c s="1635"/>
      <c s="569"/>
      <c s="569"/>
      <c s="569"/>
      <c s="569"/>
      <c s="1644">
        <v>11</v>
      </c>
    </row>
    <row r="270" spans="1:32" s="1644" customFormat="1" ht="11.55" customHeight="1">
      <c r="A270" s="990"/>
      <c s="1639"/>
      <c s="1639"/>
      <c s="354"/>
      <c r="K270" s="1163"/>
      <c s="1639"/>
      <c s="1639"/>
      <c s="1163"/>
      <c s="1163"/>
      <c s="1163"/>
      <c s="1163"/>
      <c s="1639"/>
      <c s="1163"/>
      <c s="1163"/>
      <c s="547"/>
      <c s="1163"/>
      <c s="1163"/>
      <c s="1163"/>
      <c s="1163"/>
      <c s="1163"/>
      <c s="1635"/>
      <c s="569"/>
      <c s="569"/>
      <c s="569"/>
      <c s="569"/>
      <c s="1644">
        <v>11</v>
      </c>
    </row>
    <row r="271" spans="1:32" s="1644" customFormat="1" ht="11.55" customHeight="1">
      <c r="A271" s="990"/>
      <c s="1639"/>
      <c s="1639"/>
      <c s="354"/>
      <c r="K271" s="1163"/>
      <c s="1639"/>
      <c s="1639"/>
      <c s="1163"/>
      <c s="1163"/>
      <c s="1163"/>
      <c s="1163"/>
      <c s="1639"/>
      <c s="1163"/>
      <c s="1163"/>
      <c s="547"/>
      <c s="1163"/>
      <c s="1163"/>
      <c s="1163"/>
      <c s="1163"/>
      <c s="1163"/>
      <c s="1635"/>
      <c s="569"/>
      <c s="569"/>
      <c s="569"/>
      <c s="569"/>
      <c s="1644">
        <v>11</v>
      </c>
    </row>
    <row r="272" spans="1:32" s="1644" customFormat="1" ht="11.55" customHeight="1">
      <c r="A272" s="990"/>
      <c s="1639"/>
      <c s="1639"/>
      <c s="354"/>
      <c r="K272" s="1163"/>
      <c s="1639"/>
      <c s="1639"/>
      <c s="1163"/>
      <c s="1163"/>
      <c s="1163"/>
      <c s="1163"/>
      <c s="1639"/>
      <c s="1163"/>
      <c s="1163"/>
      <c s="547"/>
      <c s="1163"/>
      <c s="1163"/>
      <c s="1163"/>
      <c s="1163"/>
      <c s="1163"/>
      <c s="1635"/>
      <c s="569"/>
      <c s="569"/>
      <c s="569"/>
      <c s="569"/>
      <c s="1644">
        <v>11</v>
      </c>
    </row>
    <row r="273" spans="1:32" s="1644" customFormat="1" ht="11.55" customHeight="1">
      <c r="A273" s="990"/>
      <c s="1639"/>
      <c s="1639"/>
      <c s="354"/>
      <c r="K273" s="1163"/>
      <c s="1639"/>
      <c s="1639"/>
      <c s="1163"/>
      <c s="1163"/>
      <c s="1163"/>
      <c s="1163"/>
      <c s="1639"/>
      <c s="1163"/>
      <c s="1163"/>
      <c s="547"/>
      <c s="1163"/>
      <c s="1163"/>
      <c s="1163"/>
      <c s="1163"/>
      <c s="1163"/>
      <c s="1635"/>
      <c s="569"/>
      <c s="569"/>
      <c s="569"/>
      <c s="569"/>
      <c s="1644">
        <v>11</v>
      </c>
    </row>
    <row r="274" spans="1:32" s="1644" customFormat="1" ht="11.55" customHeight="1">
      <c r="A274" s="990"/>
      <c s="1639"/>
      <c s="1639"/>
      <c s="354"/>
      <c r="K274" s="1163"/>
      <c s="1639"/>
      <c s="1639"/>
      <c s="1163"/>
      <c s="1163"/>
      <c s="1163"/>
      <c s="1163"/>
      <c s="1639"/>
      <c s="1163"/>
      <c s="1163"/>
      <c s="547"/>
      <c s="1163"/>
      <c s="1163"/>
      <c s="1163"/>
      <c s="1163"/>
      <c s="1163"/>
      <c s="1635"/>
      <c s="569"/>
      <c s="569"/>
      <c s="569"/>
      <c s="569"/>
      <c s="1644">
        <v>11</v>
      </c>
    </row>
    <row r="275" spans="1:32" s="1644" customFormat="1" ht="11.55" customHeight="1">
      <c r="A275" s="990"/>
      <c s="1639"/>
      <c s="1639"/>
      <c s="354"/>
      <c r="K275" s="1163"/>
      <c s="1639"/>
      <c s="1639"/>
      <c s="1163"/>
      <c s="1163"/>
      <c s="1163"/>
      <c s="1163"/>
      <c s="1639"/>
      <c s="1163"/>
      <c s="1163"/>
      <c s="547"/>
      <c s="1163"/>
      <c s="1163"/>
      <c s="1163"/>
      <c s="1163"/>
      <c s="1163"/>
      <c s="1635"/>
      <c s="569"/>
      <c s="569"/>
      <c s="569"/>
      <c s="569"/>
      <c s="1644">
        <v>11</v>
      </c>
    </row>
    <row r="276" spans="1:32" s="1644" customFormat="1" ht="11.55" customHeight="1">
      <c r="A276" s="990"/>
      <c s="1639"/>
      <c s="1639"/>
      <c s="354"/>
      <c r="K276" s="1163"/>
      <c s="1639"/>
      <c s="1639"/>
      <c s="1163"/>
      <c s="1163"/>
      <c s="1163"/>
      <c s="1163"/>
      <c s="1639"/>
      <c s="1163"/>
      <c s="1163"/>
      <c s="547"/>
      <c s="1163"/>
      <c s="1163"/>
      <c s="1163"/>
      <c s="1163"/>
      <c s="1163"/>
      <c s="1635"/>
      <c s="569"/>
      <c s="569"/>
      <c s="569"/>
      <c s="569"/>
      <c s="1644">
        <v>11</v>
      </c>
    </row>
    <row r="277" spans="1:32" s="1644" customFormat="1" ht="11.55" customHeight="1">
      <c r="A277" s="990"/>
      <c s="1639"/>
      <c s="1639"/>
      <c s="354"/>
      <c r="K277" s="1163"/>
      <c s="1639"/>
      <c s="1639"/>
      <c s="1163"/>
      <c s="1163"/>
      <c s="1163"/>
      <c s="1163"/>
      <c s="1639"/>
      <c s="1163"/>
      <c s="1163"/>
      <c s="547"/>
      <c s="1163"/>
      <c s="1163"/>
      <c s="1163"/>
      <c s="1163"/>
      <c s="1163"/>
      <c s="1635"/>
      <c s="569"/>
      <c s="569"/>
      <c s="569"/>
      <c s="569"/>
      <c s="1644">
        <v>11</v>
      </c>
    </row>
    <row r="278" spans="1:32" s="1644" customFormat="1" ht="11.55" customHeight="1">
      <c r="A278" s="990"/>
      <c s="1639"/>
      <c s="1639"/>
      <c s="354"/>
      <c r="K278" s="1163"/>
      <c s="1639"/>
      <c s="1639"/>
      <c s="1163"/>
      <c s="1163"/>
      <c s="1163"/>
      <c s="1163"/>
      <c s="1639"/>
      <c s="1163"/>
      <c s="1163"/>
      <c s="547"/>
      <c s="1163"/>
      <c s="1163"/>
      <c s="1163"/>
      <c s="1163"/>
      <c s="1163"/>
      <c s="1635"/>
      <c s="569"/>
      <c s="569"/>
      <c s="569"/>
      <c s="569"/>
      <c s="1644">
        <v>11</v>
      </c>
    </row>
    <row r="279" spans="1:32" s="1644" customFormat="1" ht="11.55" customHeight="1">
      <c r="A279" s="990"/>
      <c s="1639"/>
      <c s="1639"/>
      <c s="354"/>
      <c r="K279" s="1163"/>
      <c s="1639"/>
      <c s="1639"/>
      <c s="1163"/>
      <c s="1163"/>
      <c s="1163"/>
      <c s="1163"/>
      <c s="1639"/>
      <c s="1163"/>
      <c s="1163"/>
      <c s="547"/>
      <c s="1163"/>
      <c s="1163"/>
      <c s="1163"/>
      <c s="1163"/>
      <c s="1163"/>
      <c s="1635"/>
      <c s="569"/>
      <c s="569"/>
      <c s="569"/>
      <c s="569"/>
      <c s="1644">
        <v>11</v>
      </c>
    </row>
    <row r="280" spans="1:32" s="1644" customFormat="1" ht="11.55" customHeight="1">
      <c r="A280" s="990"/>
      <c s="1639"/>
      <c s="1639"/>
      <c s="354"/>
      <c r="K280" s="1163"/>
      <c s="1639"/>
      <c s="1639"/>
      <c s="1163"/>
      <c s="1163"/>
      <c s="1163"/>
      <c s="1163"/>
      <c s="1639"/>
      <c s="1163"/>
      <c s="1163"/>
      <c s="547"/>
      <c s="1163"/>
      <c s="1163"/>
      <c s="1163"/>
      <c s="1163"/>
      <c s="1163"/>
      <c s="1635"/>
      <c s="569"/>
      <c s="569"/>
      <c s="569"/>
      <c s="569"/>
      <c s="1644">
        <v>11</v>
      </c>
    </row>
    <row r="281" spans="1:32" s="1644" customFormat="1" ht="11.55" customHeight="1">
      <c r="A281" s="990"/>
      <c s="1639"/>
      <c s="1639"/>
      <c s="354"/>
      <c r="K281" s="1163"/>
      <c s="1639"/>
      <c s="1639"/>
      <c s="1163"/>
      <c s="1163"/>
      <c s="1163"/>
      <c s="1163"/>
      <c s="1639"/>
      <c s="1163"/>
      <c s="1163"/>
      <c s="547"/>
      <c s="1163"/>
      <c s="1163"/>
      <c s="1163"/>
      <c s="1163"/>
      <c s="1163"/>
      <c s="1635"/>
      <c s="569"/>
      <c s="569"/>
      <c s="569"/>
      <c s="569"/>
      <c s="1644">
        <v>11</v>
      </c>
    </row>
    <row r="282" spans="1:32" s="1644" customFormat="1" ht="11.55" customHeight="1">
      <c r="A282" s="990"/>
      <c s="1639"/>
      <c s="1639"/>
      <c s="354"/>
      <c r="K282" s="1163"/>
      <c s="1639"/>
      <c s="1639"/>
      <c s="1163"/>
      <c s="1163"/>
      <c s="1163"/>
      <c s="1163"/>
      <c s="1639"/>
      <c s="1163"/>
      <c s="1163"/>
      <c s="547"/>
      <c s="1163"/>
      <c s="1163"/>
      <c s="1163"/>
      <c s="1163"/>
      <c s="1163"/>
      <c s="1635"/>
      <c s="569"/>
      <c s="569"/>
      <c s="569"/>
      <c s="569"/>
      <c s="1644">
        <v>11</v>
      </c>
    </row>
    <row r="283" spans="1:32" s="1644" customFormat="1" ht="11.55" customHeight="1">
      <c r="A283" s="990"/>
      <c s="1639"/>
      <c s="1639"/>
      <c s="354"/>
      <c r="K283" s="1163"/>
      <c s="1639"/>
      <c s="1639"/>
      <c s="1163"/>
      <c s="1163"/>
      <c s="1163"/>
      <c s="1163"/>
      <c s="1639"/>
      <c s="1163"/>
      <c s="1163"/>
      <c s="547"/>
      <c s="1163"/>
      <c s="1163"/>
      <c s="1163"/>
      <c s="1163"/>
      <c s="1163"/>
      <c s="1635"/>
      <c s="569"/>
      <c s="569"/>
      <c s="569"/>
      <c s="569"/>
      <c s="1644">
        <v>11</v>
      </c>
    </row>
    <row r="284" spans="1:32" s="1644" customFormat="1" ht="11.55" customHeight="1">
      <c r="A284" s="990"/>
      <c s="1639"/>
      <c s="1639"/>
      <c s="354"/>
      <c r="K284" s="1163"/>
      <c s="1639"/>
      <c s="1639"/>
      <c s="1163"/>
      <c s="1163"/>
      <c s="1163"/>
      <c s="1163"/>
      <c s="1639"/>
      <c s="1163"/>
      <c s="1163"/>
      <c s="547"/>
      <c s="1163"/>
      <c s="1163"/>
      <c s="1163"/>
      <c s="1163"/>
      <c s="1163"/>
      <c s="1635"/>
      <c s="569"/>
      <c s="569"/>
      <c s="569"/>
      <c s="569"/>
      <c s="1644">
        <v>11</v>
      </c>
    </row>
    <row r="285" spans="1:32" s="1644" customFormat="1" ht="11.55" customHeight="1">
      <c r="A285" s="990"/>
      <c s="1639"/>
      <c s="1639"/>
      <c s="354"/>
      <c r="K285" s="1163"/>
      <c s="1639"/>
      <c s="1639"/>
      <c s="1163"/>
      <c s="1163"/>
      <c s="1163"/>
      <c s="1163"/>
      <c s="1639"/>
      <c s="1163"/>
      <c s="1163"/>
      <c s="547"/>
      <c s="1163"/>
      <c s="1163"/>
      <c s="1163"/>
      <c s="1163"/>
      <c s="1163"/>
      <c s="1635"/>
      <c s="569"/>
      <c s="569"/>
      <c s="569"/>
      <c s="569"/>
      <c s="1644">
        <v>11</v>
      </c>
    </row>
    <row r="286" spans="1:32" s="1644" customFormat="1" ht="11.55" customHeight="1">
      <c r="A286" s="990"/>
      <c s="1639"/>
      <c s="1639"/>
      <c s="354"/>
      <c r="K286" s="1163"/>
      <c s="1639"/>
      <c s="1639"/>
      <c s="1163"/>
      <c s="1163"/>
      <c s="1163"/>
      <c s="1163"/>
      <c s="1639"/>
      <c s="1163"/>
      <c s="1163"/>
      <c s="547"/>
      <c s="1163"/>
      <c s="1163"/>
      <c s="1163"/>
      <c s="1163"/>
      <c s="1163"/>
      <c s="1635"/>
      <c s="569"/>
      <c s="569"/>
      <c s="569"/>
      <c s="569"/>
      <c s="1644">
        <v>11</v>
      </c>
    </row>
    <row r="287" spans="1:32" s="1644" customFormat="1" ht="11.55" customHeight="1">
      <c r="A287" s="990"/>
      <c s="1639"/>
      <c s="1639"/>
      <c s="354"/>
      <c r="K287" s="1163"/>
      <c s="1639"/>
      <c s="1639"/>
      <c s="1163"/>
      <c s="1163"/>
      <c s="1163"/>
      <c s="1163"/>
      <c s="1639"/>
      <c s="1163"/>
      <c s="1163"/>
      <c s="547"/>
      <c s="1163"/>
      <c s="1163"/>
      <c s="1163"/>
      <c s="1163"/>
      <c s="1163"/>
      <c s="1635"/>
      <c s="569"/>
      <c s="569"/>
      <c s="569"/>
      <c s="569"/>
      <c s="1644">
        <v>11</v>
      </c>
    </row>
    <row r="288" spans="1:32" s="1644" customFormat="1" ht="11.55" customHeight="1">
      <c r="A288" s="990"/>
      <c s="1639"/>
      <c s="1639"/>
      <c s="354"/>
      <c r="K288" s="1163"/>
      <c s="1639"/>
      <c s="1639"/>
      <c s="1163"/>
      <c s="1163"/>
      <c s="1163"/>
      <c s="1163"/>
      <c s="1639"/>
      <c s="1163"/>
      <c s="1163"/>
      <c s="547"/>
      <c s="1163"/>
      <c s="1163"/>
      <c s="1163"/>
      <c s="1163"/>
      <c s="1163"/>
      <c s="1635"/>
      <c s="569"/>
      <c s="569"/>
      <c s="569"/>
      <c s="569"/>
      <c s="1644">
        <v>11</v>
      </c>
    </row>
    <row r="289" spans="32:32" ht="11.55" customHeight="1">
      <c r="AF289" s="1634">
        <v>11</v>
      </c>
    </row>
    <row r="290" spans="32:32" ht="11.55" customHeight="1">
      <c r="AF290" s="1634">
        <v>11</v>
      </c>
    </row>
    <row r="291" spans="32:32" ht="11.55" customHeight="1">
      <c r="AF291" s="1634">
        <v>11</v>
      </c>
    </row>
    <row r="292" spans="1:32" ht="11.55" customHeight="1">
      <c r="A292" s="993"/>
      <c s="1634"/>
      <c r="D292" s="1634"/>
      <c r="K292" s="1634"/>
      <c r="N292" s="1634"/>
      <c s="1634"/>
      <c s="1634"/>
      <c s="1634"/>
      <c r="S292" s="1634"/>
      <c s="1634"/>
      <c s="1634"/>
      <c s="1634"/>
      <c s="1634"/>
      <c s="1634"/>
      <c s="1634"/>
      <c s="1634"/>
      <c s="1634"/>
      <c s="1634"/>
      <c s="1634"/>
      <c s="1634"/>
      <c s="1634"/>
      <c s="1634">
        <v>11</v>
      </c>
    </row>
    <row r="293" spans="1:32" ht="11.55" customHeight="1">
      <c r="A293" s="993"/>
      <c s="1634"/>
      <c r="D293" s="1634"/>
      <c r="K293" s="1634"/>
      <c r="N293" s="1634"/>
      <c s="1634"/>
      <c s="1634"/>
      <c s="1634"/>
      <c r="S293" s="1634"/>
      <c s="1634"/>
      <c s="1634"/>
      <c s="1634"/>
      <c s="1634"/>
      <c s="1634"/>
      <c s="1634"/>
      <c s="1634"/>
      <c s="1634"/>
      <c s="1634"/>
      <c s="1634"/>
      <c s="1634"/>
      <c s="1634"/>
      <c s="1634">
        <v>11</v>
      </c>
    </row>
    <row r="294" spans="1:32" ht="11.55" customHeight="1">
      <c r="A294" s="993"/>
      <c s="1634"/>
      <c r="D294" s="1634"/>
      <c r="K294" s="1634"/>
      <c r="N294" s="1634"/>
      <c s="1634"/>
      <c s="1634"/>
      <c s="1634"/>
      <c r="S294" s="1634"/>
      <c s="1634"/>
      <c s="1634"/>
      <c s="1634"/>
      <c s="1634"/>
      <c s="1634"/>
      <c s="1634"/>
      <c s="1634"/>
      <c s="1634"/>
      <c s="1634"/>
      <c s="1634"/>
      <c s="1634"/>
      <c s="1634"/>
      <c s="1634">
        <v>11</v>
      </c>
    </row>
    <row r="295" spans="1:32" ht="11.55" customHeight="1">
      <c r="A295" s="993"/>
      <c s="1634"/>
      <c r="D295" s="1634"/>
      <c r="K295" s="1634"/>
      <c r="N295" s="1634"/>
      <c s="1634"/>
      <c s="1634"/>
      <c s="1634"/>
      <c r="S295" s="1634"/>
      <c s="1634"/>
      <c s="1634"/>
      <c s="1634"/>
      <c s="1634"/>
      <c s="1634"/>
      <c s="1634"/>
      <c s="1634"/>
      <c s="1634"/>
      <c s="1634"/>
      <c s="1634"/>
      <c s="1634"/>
      <c s="1634"/>
      <c s="1634">
        <v>11</v>
      </c>
    </row>
    <row r="296" spans="1:32" ht="11.55" customHeight="1">
      <c r="A296" s="993"/>
      <c s="1634"/>
      <c r="D296" s="1634"/>
      <c r="K296" s="1634"/>
      <c r="N296" s="1634"/>
      <c s="1634"/>
      <c s="1634"/>
      <c s="1634"/>
      <c r="S296" s="1634"/>
      <c s="1634"/>
      <c s="1634"/>
      <c s="1634"/>
      <c s="1634"/>
      <c s="1634"/>
      <c s="1634"/>
      <c s="1634"/>
      <c s="1634"/>
      <c s="1634"/>
      <c s="1634"/>
      <c s="1634"/>
      <c s="1634"/>
      <c s="1634">
        <v>11</v>
      </c>
    </row>
    <row r="297" spans="1:32" ht="11.55" customHeight="1">
      <c r="A297" s="993"/>
      <c s="1634"/>
      <c r="D297" s="1634"/>
      <c r="K297" s="1634"/>
      <c r="N297" s="1634"/>
      <c s="1634"/>
      <c s="1634"/>
      <c s="1634"/>
      <c r="S297" s="1634"/>
      <c s="1634"/>
      <c s="1634"/>
      <c s="1634"/>
      <c s="1634"/>
      <c s="1634"/>
      <c s="1634"/>
      <c s="1634"/>
      <c s="1634"/>
      <c s="1634"/>
      <c s="1634"/>
      <c s="1634"/>
      <c s="1634"/>
      <c s="1634">
        <v>11</v>
      </c>
    </row>
    <row r="298" spans="1:32" ht="11.55" customHeight="1">
      <c r="A298" s="993"/>
      <c s="1634"/>
      <c r="D298" s="1634"/>
      <c r="K298" s="1634"/>
      <c r="N298" s="1634"/>
      <c s="1634"/>
      <c s="1634"/>
      <c s="1634"/>
      <c r="S298" s="1634"/>
      <c s="1634"/>
      <c s="1634"/>
      <c s="1634"/>
      <c s="1634"/>
      <c s="1634"/>
      <c s="1634"/>
      <c s="1634"/>
      <c s="1634"/>
      <c s="1634"/>
      <c s="1634"/>
      <c s="1634"/>
      <c s="1634"/>
      <c s="1634">
        <v>11</v>
      </c>
    </row>
    <row r="299" spans="1:32" ht="11.55" customHeight="1">
      <c r="A299" s="993"/>
      <c s="1634"/>
      <c r="D299" s="1634"/>
      <c r="K299" s="1634"/>
      <c r="N299" s="1634"/>
      <c s="1634"/>
      <c s="1634"/>
      <c s="1634"/>
      <c r="S299" s="1634"/>
      <c s="1634"/>
      <c s="1634"/>
      <c s="1634"/>
      <c s="1634"/>
      <c s="1634"/>
      <c s="1634"/>
      <c s="1634"/>
      <c s="1634"/>
      <c s="1634"/>
      <c s="1634"/>
      <c s="1634"/>
      <c s="1634"/>
      <c s="1634">
        <v>11</v>
      </c>
    </row>
    <row r="300" spans="1:32" ht="11.55" customHeight="1">
      <c r="A300" s="993"/>
      <c s="1634"/>
      <c r="D300" s="1634"/>
      <c r="K300" s="1634"/>
      <c r="N300" s="1634"/>
      <c s="1634"/>
      <c s="1634"/>
      <c s="1634"/>
      <c r="S300" s="1634"/>
      <c s="1634"/>
      <c s="1634"/>
      <c s="1634"/>
      <c s="1634"/>
      <c s="1634"/>
      <c s="1634"/>
      <c s="1634"/>
      <c s="1634"/>
      <c s="1634"/>
      <c s="1634"/>
      <c s="1634"/>
      <c s="1634"/>
      <c s="1634">
        <v>11</v>
      </c>
    </row>
    <row r="301" spans="1:32" ht="11.55" customHeight="1">
      <c r="A301" s="993"/>
      <c s="1634"/>
      <c r="D301" s="1634"/>
      <c r="K301" s="1634"/>
      <c r="N301" s="1634"/>
      <c s="1634"/>
      <c s="1634"/>
      <c s="1634"/>
      <c r="S301" s="1634"/>
      <c s="1634"/>
      <c s="1634"/>
      <c s="1634"/>
      <c s="1634"/>
      <c s="1634"/>
      <c s="1634"/>
      <c s="1634"/>
      <c s="1634"/>
      <c s="1634"/>
      <c s="1634"/>
      <c s="1634"/>
      <c s="1634"/>
      <c s="1634">
        <v>11</v>
      </c>
    </row>
    <row r="302" spans="1:32" ht="11.55" customHeight="1">
      <c r="A302" s="993"/>
      <c s="1634"/>
      <c r="D302" s="1634"/>
      <c r="K302" s="1634"/>
      <c r="N302" s="1634"/>
      <c s="1634"/>
      <c s="1634"/>
      <c s="1634"/>
      <c r="S302" s="1634"/>
      <c s="1634"/>
      <c s="1634"/>
      <c s="1634"/>
      <c s="1634"/>
      <c s="1634"/>
      <c s="1634"/>
      <c s="1634"/>
      <c s="1634"/>
      <c s="1634"/>
      <c s="1634"/>
      <c s="1634"/>
      <c s="1634"/>
      <c s="1634">
        <v>11</v>
      </c>
    </row>
    <row r="303" spans="1:32" ht="11.25" customHeight="1" hidden="1">
      <c r="A303" s="990" t="s">
        <v>81</v>
      </c>
      <c s="1163">
        <v>0</v>
      </c>
      <c s="1639">
        <v>0</v>
      </c>
      <c s="1638">
        <v>3</v>
      </c>
      <c s="1634">
        <v>7</v>
      </c>
      <c s="1634">
        <v>54</v>
      </c>
      <c s="1634">
        <v>10</v>
      </c>
      <c s="1634">
        <v>0</v>
      </c>
      <c s="1634">
        <v>40</v>
      </c>
      <c s="1634">
        <v>102</v>
      </c>
      <c s="1163">
        <v>9</v>
      </c>
      <c s="1639">
        <v>5</v>
      </c>
      <c s="1639">
        <v>3</v>
      </c>
      <c s="1163">
        <v>3</v>
      </c>
      <c s="1163">
        <v>3</v>
      </c>
      <c s="1163">
        <v>3</v>
      </c>
      <c s="1163">
        <v>3</v>
      </c>
      <c s="1639">
        <v>10</v>
      </c>
      <c s="1163">
        <v>34</v>
      </c>
      <c s="1163">
        <v>9</v>
      </c>
      <c s="547">
        <v>8</v>
      </c>
      <c s="1163">
        <v>8</v>
      </c>
      <c s="1163">
        <v>8</v>
      </c>
      <c s="1163">
        <v>8</v>
      </c>
      <c s="1163">
        <v>8</v>
      </c>
      <c s="1163">
        <v>8</v>
      </c>
      <c s="1635">
        <v>8</v>
      </c>
      <c s="1635">
        <v>8</v>
      </c>
      <c s="1635">
        <v>8</v>
      </c>
      <c s="1635">
        <v>8</v>
      </c>
      <c s="1635">
        <v>8</v>
      </c>
      <c s="1634">
        <v>11</v>
      </c>
    </row>
  </sheetData>
  <sheetProtection formatColumns="0" formatRows="0" insertRows="0" deleteColumns="0" deleteRows="0" sort="0" autoFilter="0"/>
  <mergeCells count="18">
    <mergeCell ref="A120:A130"/>
    <mergeCell ref="E21:I21"/>
    <mergeCell ref="E22:I22"/>
    <mergeCell ref="A33:A40"/>
    <mergeCell ref="B34:B39"/>
    <mergeCell ref="A41:A43"/>
    <mergeCell ref="A67:A68"/>
    <mergeCell ref="A82:A90"/>
    <mergeCell ref="A91:A95"/>
    <mergeCell ref="A96:A98"/>
    <mergeCell ref="A99:A111"/>
    <mergeCell ref="A115:A119"/>
    <mergeCell ref="B2:B7"/>
    <mergeCell ref="J25:J29"/>
    <mergeCell ref="F25:G25"/>
    <mergeCell ref="F26:G26"/>
    <mergeCell ref="F27:G27"/>
    <mergeCell ref="E28:G28"/>
  </mergeCells>
  <dataValidations count="12">
    <dataValidation allowBlank="1" showInputMessage="1" showErrorMessage="1" prompt="Для выбора выполните двойной щелчок левой клавиши мыши по соответствующей ячейке." sqref="H66:I66 H68:I68"/>
    <dataValidation type="decimal" allowBlank="1" showErrorMessage="1" errorTitle="Ошибка" error="Введите значение от 0 до 100%" sqref="H90:I90 H95:I95">
      <formula1>0</formula1>
      <formula2>100</formula2>
    </dataValidation>
    <dataValidation type="decimal" allowBlank="1" showErrorMessage="1" errorTitle="Ошибка" error="Допускается ввод только действительных чисел!" sqref="H75:I80 H123:I123 H120:I120 H126:I126">
      <formula1>-099999999999999900000000000000000000000</formula1>
      <formula2>9.99999999999999E+37</formula2>
    </dataValidation>
    <dataValidation type="decimal" allowBlank="1" showErrorMessage="1" errorTitle="Ошибка" error="Допускается ввод только действительных чисел!" sqref="H72:I73">
      <formula1>-0999999999999999000000000</formula1>
      <formula2>9.99999999999999E+23</formula2>
    </dataValidation>
    <dataValidation type="textLength" operator="lessThanOrEqual" allowBlank="1" showInputMessage="1" showErrorMessage="1" prompt="Введите ссылку на обосновывающие материалы, загруженные с помощью &quot;ЕИАС Web&quot;." errorTitle="Ошибка" error="Допускается ввод не более 900 символов!" sqref="H81:I81 H128:I130">
      <formula1>900</formula1>
    </dataValidation>
    <dataValidation type="list" allowBlank="1" showInputMessage="1" showErrorMessage="1" prompt="Выберите значение из списка" errorTitle="Ошибка" error="Выберите значение из списка" sqref="G93">
      <formula1>kind_of_volume_te_unit</formula1>
    </dataValidation>
    <dataValidation type="list" allowBlank="1" showInputMessage="1" showErrorMessage="1" prompt="Выберите значение из списка" errorTitle="Ошибка" error="Выберите значение из списка" sqref="F2">
      <formula1>kind_of_fuels</formula1>
    </dataValidation>
    <dataValidation type="textLength" operator="lessThanOrEqual" allowBlank="1" showInputMessage="1" showErrorMessage="1" prompt="Введите источник тепловой энергии" errorTitle="Ошибка" error="Допускается ввод не более 900 символов!" sqref="A1:XFD1">
      <formula1>900</formula1>
    </dataValidation>
    <dataValidation type="decimal" allowBlank="1" showErrorMessage="1" errorTitle="Ошибка" error="Допускается ввод только неотрицательных чисел!" sqref="H4:I6 H67:I67 H69:I69 H91:I94 H127:I127 H30:I30 H32:I33 H35:I38 H40:I65 H82:I86 H17:I17 H9:I13 H15:I15 H96:I119 H74:I74 H88:I89">
      <formula1>0</formula1>
      <formula2>9.99999999999999E+23</formula2>
    </dataValidation>
    <dataValidation type="textLength" operator="lessThanOrEqual" allowBlank="1" showInputMessage="1" showErrorMessage="1" errorTitle="Ошибка" error="Допускается ввод не более 900 символов!" sqref="G4 H34:I34 H39:I39">
      <formula1>900</formula1>
    </dataValidation>
    <dataValidation type="textLength" operator="lessThanOrEqual" allowBlank="1" showInputMessage="1" showErrorMessage="1" prompt="Введите наименование прочих расходов" errorTitle="Ошибка" error="Допускается ввод не более 900 символов!" sqref="F10 F12 H70:I70">
      <formula1>900</formula1>
    </dataValidation>
    <dataValidation type="list" allowBlank="1" showInputMessage="1" showErrorMessage="1" prompt="Выберите значение из списка" errorTitle="Ошибка" error="Выберите значение из списка" sqref="H7:I7">
      <formula1>kind_of_purchase_method</formula1>
    </dataValidation>
  </dataValidations>
  <pageMargins left="0.7" right="0.7" top="0.75" bottom="0.75" header="0.3" footer="0.3"/>
  <pageSetup orientation="portrait" paperSize="9"/>
</worksheet>
</file>

<file path=xl/worksheets/sheet3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m="http://schemas.microsoft.com/office/excel/2006/main" xmlns:x14ac="http://schemas.microsoft.com/office/spreadsheetml/2009/9/ac" xmlns:xr="http://schemas.microsoft.com/office/spreadsheetml/2014/revision" xmlns:xr2="http://schemas.microsoft.com/office/spreadsheetml/2015/revision2" xmlns:xr3="http://schemas.microsoft.com/office/spreadsheetml/2016/revision3" xr:uid="{0911CA69-F41D-032E-E32A-B6DF83B8F784}" mc:Ignorable="x14ac xr xr2 xr3">
  <sheetPr>
    <tabColor theme="9" tint="-0.249980002641678"/>
  </sheetPr>
  <dimension ref="A1:CF29"/>
  <sheetViews>
    <sheetView showGridLines="0" zoomScale="90" zoomScaleNormal="90" workbookViewId="0" topLeftCell="C4">
      <selection pane="topLeft" activeCell="A1" sqref="A1"/>
    </sheetView>
  </sheetViews>
  <sheetFormatPr defaultColWidth="9.14428571428571" defaultRowHeight="11.25" customHeight="1"/>
  <cols>
    <col min="1" max="1" width="14.7142857142857" style="946" hidden="1" customWidth="1"/>
    <col min="2" max="2" width="17" style="1635" hidden="1" customWidth="1"/>
    <col min="3" max="3" width="3" style="1638" customWidth="1"/>
    <col min="4" max="4" width="1.85714285714286" style="1638" hidden="1" customWidth="1"/>
    <col min="5" max="6" width="7" style="1638" customWidth="1"/>
    <col min="7" max="7" width="29" style="1638" customWidth="1"/>
    <col min="8" max="8" width="3.71428571428571" style="1638" customWidth="1"/>
    <col min="9" max="9" width="5" style="1638" customWidth="1"/>
    <col min="10" max="11" width="24" style="1638" customWidth="1"/>
    <col min="12" max="12" width="3" style="1638" customWidth="1"/>
    <col min="13" max="13" width="6" style="1638" customWidth="1"/>
    <col min="14" max="14" width="25" style="1638" customWidth="1"/>
    <col min="15" max="18" width="18" style="1638" customWidth="1"/>
    <col min="19" max="19" width="93" style="1638" customWidth="1"/>
    <col min="20" max="20" width="10" style="1638" customWidth="1"/>
    <col min="21" max="21" width="10" style="1645" customWidth="1"/>
    <col min="22" max="22" width="11" style="1645" customWidth="1"/>
    <col min="23" max="27" width="10" style="1635" customWidth="1"/>
    <col min="28" max="83" width="8" style="1638" customWidth="1"/>
    <col min="84" max="84" width="9.14285714285714" style="1638" hidden="1"/>
  </cols>
  <sheetData>
    <row r="1" spans="84:84" ht="22.5" customHeight="1" hidden="1">
      <c r="CF1" s="508" t="s">
        <v>14</v>
      </c>
    </row>
    <row r="2" spans="84:84" ht="11.25" customHeight="1" hidden="1">
      <c r="CF2" s="508">
        <v>0</v>
      </c>
    </row>
    <row r="3" spans="84:84" ht="11.25" customHeight="1" hidden="1">
      <c r="CF3" s="508">
        <v>0</v>
      </c>
    </row>
    <row r="4" spans="3:13 84:84" ht="3" customHeight="1">
      <c r="C4" s="512"/>
      <c s="512"/>
      <c s="512"/>
      <c s="512"/>
      <c s="512"/>
      <c s="512"/>
      <c s="512"/>
      <c s="512"/>
      <c s="169"/>
      <c s="169"/>
      <c s="169"/>
      <c r="CF4" s="508">
        <v>3</v>
      </c>
    </row>
    <row r="5" spans="3:13 84:84" ht="29.25" customHeight="1">
      <c r="C5" s="512"/>
      <c s="1060"/>
      <c s="2240" t="str">
        <f>FHD20_NAME_FORM</f>
        <v>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v>
      </c>
      <c s="2240"/>
      <c s="2240"/>
      <c s="2240"/>
      <c s="2240"/>
      <c s="2240"/>
      <c s="2240"/>
      <c s="616"/>
      <c s="616"/>
      <c r="CF5" s="508">
        <v>28</v>
      </c>
    </row>
    <row r="6" spans="1:27 84:84" s="1638" customFormat="1" ht="16.8" customHeight="1">
      <c r="A6" s="613"/>
      <c s="762"/>
      <c s="512"/>
      <c s="1061"/>
      <c s="2179" t="str">
        <f>IF(org=0,"Не определено",org)</f>
        <v>ГУП КК "Кубаньводкомплекс"</v>
      </c>
      <c s="2179"/>
      <c s="2179"/>
      <c s="2179"/>
      <c s="2179"/>
      <c s="2179"/>
      <c s="2179"/>
      <c s="616"/>
      <c s="616"/>
      <c r="U6" s="614"/>
      <c s="614"/>
      <c s="615"/>
      <c s="762"/>
      <c s="762"/>
      <c s="762"/>
      <c s="762"/>
      <c r="CF6" s="761">
        <v>16</v>
      </c>
    </row>
    <row r="7" spans="3:18 84:84" ht="11.55" customHeight="1">
      <c r="C7" s="512"/>
      <c s="512"/>
      <c s="512"/>
      <c s="512"/>
      <c s="525"/>
      <c s="525"/>
      <c s="525"/>
      <c s="525"/>
      <c s="617"/>
      <c s="617"/>
      <c s="617"/>
      <c r="R7" s="755"/>
      <c r="CF7" s="508">
        <v>11</v>
      </c>
    </row>
    <row r="8" spans="1:27 84:84" s="1644" customFormat="1" ht="4.2" customHeight="1">
      <c r="A8" s="624"/>
      <c s="569"/>
      <c s="354"/>
      <c s="354"/>
      <c s="354"/>
      <c s="354"/>
      <c s="978"/>
      <c s="978"/>
      <c s="978"/>
      <c s="978"/>
      <c s="1021"/>
      <c s="1021"/>
      <c s="1021"/>
      <c r="R8" s="1022"/>
      <c r="U8" s="614"/>
      <c s="614"/>
      <c s="625"/>
      <c s="569"/>
      <c s="569"/>
      <c s="569"/>
      <c s="569"/>
      <c r="CF8" s="499">
        <v>4</v>
      </c>
    </row>
    <row r="9" spans="4:20 84:84" ht="19.95" customHeight="1">
      <c r="D9" s="292"/>
      <c s="2104" t="s">
        <v>300</v>
      </c>
      <c s="2105"/>
      <c s="2105"/>
      <c s="2105"/>
      <c s="2105"/>
      <c s="2105"/>
      <c s="2105"/>
      <c s="2105"/>
      <c s="2105"/>
      <c s="2105"/>
      <c s="2105"/>
      <c s="2105"/>
      <c s="2105"/>
      <c s="2106"/>
      <c s="2130" t="s">
        <v>301</v>
      </c>
      <c s="337"/>
      <c r="CF9" s="508">
        <v>19</v>
      </c>
    </row>
    <row r="10" spans="4:20 84:84" ht="48.3" customHeight="1">
      <c r="D10" s="554" t="s">
        <v>87</v>
      </c>
      <c s="2130" t="s">
        <v>87</v>
      </c>
      <c s="2130"/>
      <c s="524" t="s">
        <v>302</v>
      </c>
      <c s="2130" t="s">
        <v>87</v>
      </c>
      <c s="2130"/>
      <c s="524" t="s">
        <v>602</v>
      </c>
      <c s="524" t="s">
        <v>603</v>
      </c>
      <c s="2130" t="s">
        <v>87</v>
      </c>
      <c s="2130"/>
      <c s="524" t="s">
        <v>604</v>
      </c>
      <c s="524" t="s">
        <v>605</v>
      </c>
      <c s="524" t="s">
        <v>606</v>
      </c>
      <c s="524" t="s">
        <v>607</v>
      </c>
      <c s="524" t="s">
        <v>608</v>
      </c>
      <c s="2130"/>
      <c s="337"/>
      <c r="CF10" s="508">
        <v>46</v>
      </c>
    </row>
    <row r="11" spans="1:23 84:84" s="1645" customFormat="1" ht="15" customHeight="1" hidden="1">
      <c r="A11" s="1055"/>
      <c r="D11" s="1028" t="s">
        <v>109</v>
      </c>
      <c s="1028"/>
      <c s="1028" t="s">
        <v>110</v>
      </c>
      <c s="1028" t="s">
        <v>89</v>
      </c>
      <c s="1028"/>
      <c s="1028" t="s">
        <v>90</v>
      </c>
      <c s="1028" t="s">
        <v>111</v>
      </c>
      <c s="1028" t="s">
        <v>91</v>
      </c>
      <c s="1028"/>
      <c s="1028" t="s">
        <v>92</v>
      </c>
      <c s="1028" t="s">
        <v>112</v>
      </c>
      <c s="1028" t="s">
        <v>150</v>
      </c>
      <c s="1028" t="s">
        <v>151</v>
      </c>
      <c s="1028" t="s">
        <v>152</v>
      </c>
      <c s="1028" t="s">
        <v>153</v>
      </c>
      <c s="1028" t="s">
        <v>154</v>
      </c>
      <c r="U11" s="614"/>
      <c s="614"/>
      <c s="614"/>
      <c r="CF11" s="514">
        <v>0</v>
      </c>
    </row>
    <row r="12" spans="1:27 84:84" s="1638" customFormat="1" ht="1.05" customHeight="1">
      <c r="A12" s="618"/>
      <c s="365"/>
      <c r="D12" s="551"/>
      <c s="349"/>
      <c s="349"/>
      <c r="Q12" s="619"/>
      <c s="620"/>
      <c r="T12" s="621"/>
      <c s="622"/>
      <c s="622"/>
      <c s="623"/>
      <c s="365"/>
      <c s="365"/>
      <c s="365"/>
      <c s="365"/>
      <c r="CF12" s="512">
        <v>1</v>
      </c>
    </row>
    <row r="13" spans="1:27 84:84" s="1644" customFormat="1" ht="1.05" customHeight="1">
      <c r="A13" s="624"/>
      <c s="569"/>
      <c r="D13" s="551" t="s">
        <v>376</v>
      </c>
      <c s="563"/>
      <c s="563"/>
      <c s="563"/>
      <c s="563"/>
      <c s="563"/>
      <c s="563"/>
      <c s="563"/>
      <c s="563"/>
      <c s="563"/>
      <c s="563"/>
      <c s="563"/>
      <c s="563"/>
      <c s="563"/>
      <c s="563"/>
      <c r="T13" s="337"/>
      <c s="614"/>
      <c s="614"/>
      <c s="625"/>
      <c s="569"/>
      <c s="569"/>
      <c s="569"/>
      <c s="569"/>
      <c r="CF13" s="499">
        <v>1</v>
      </c>
    </row>
    <row r="14" spans="1:84" s="1853" customFormat="1" ht="15" customHeight="1" hidden="1">
      <c r="A14" s="626" t="s">
        <v>118</v>
      </c>
      <c s="627"/>
      <c s="627"/>
      <c s="2383" t="s">
        <v>109</v>
      </c>
      <c s="2380" t="s">
        <v>105</v>
      </c>
      <c s="2381"/>
      <c s="2382"/>
      <c s="2386" t="str">
        <f>IF(A14="","",INDEX(DIFFERENTIATION_UNMERGE_VD,MATCH(A14,DIFFERENTIATION_ID_DIFF,0)))</f>
        <v>Водоотведение; Транспортировка; Подключение (технологическое присоединение) к централизованной системе водоотведения</v>
      </c>
      <c s="2386"/>
      <c s="2386"/>
      <c s="2386"/>
      <c s="2386"/>
      <c s="2386"/>
      <c s="2386"/>
      <c s="2386"/>
      <c s="2386"/>
      <c s="2386"/>
      <c s="2386"/>
      <c s="722"/>
      <c s="719"/>
      <c s="628"/>
      <c s="628"/>
      <c s="629"/>
      <c s="629"/>
      <c s="629"/>
      <c s="629"/>
      <c s="630"/>
      <c s="631"/>
      <c s="2378"/>
      <c s="632"/>
      <c s="633" t="s">
        <v>22</v>
      </c>
      <c s="633"/>
      <c s="634" t="s">
        <v>609</v>
      </c>
      <c s="635">
        <v>3</v>
      </c>
      <c s="628"/>
      <c s="628"/>
      <c s="628"/>
      <c s="628"/>
      <c s="628"/>
      <c s="628"/>
      <c s="628"/>
      <c s="628"/>
      <c s="628"/>
      <c s="628"/>
      <c s="628"/>
      <c s="628"/>
      <c s="628"/>
      <c s="628"/>
      <c s="628"/>
      <c s="628"/>
      <c s="628"/>
      <c s="628"/>
      <c s="628"/>
      <c s="628"/>
      <c s="628"/>
      <c s="628"/>
      <c s="628"/>
      <c s="628"/>
      <c s="628"/>
      <c s="628"/>
      <c s="628"/>
      <c s="628"/>
      <c s="628"/>
      <c s="628"/>
      <c s="628"/>
      <c s="628"/>
      <c s="628"/>
      <c s="628"/>
      <c s="628"/>
      <c s="628"/>
      <c s="628"/>
      <c s="628"/>
      <c s="628"/>
      <c s="629"/>
      <c s="629"/>
      <c s="629"/>
      <c s="629"/>
      <c s="629"/>
      <c s="629"/>
      <c s="629"/>
      <c s="629"/>
      <c s="629"/>
      <c s="629"/>
      <c s="296">
        <v>0</v>
      </c>
    </row>
    <row r="15" spans="1:84" s="1853" customFormat="1" ht="15" customHeight="1" hidden="1">
      <c r="A15" s="626"/>
      <c s="627"/>
      <c s="627"/>
      <c s="2384"/>
      <c s="2380" t="s">
        <v>564</v>
      </c>
      <c s="2381"/>
      <c s="2382"/>
      <c s="2386" t="str">
        <f>IF(A14="","",INDEX(DIFFERENTIATION_UNMERGE_AREA,MATCH(A14,DIFFERENTIATION_ID_DIFF,0)))</f>
        <v>Территория 1</v>
      </c>
      <c s="2386"/>
      <c s="2386"/>
      <c s="2386"/>
      <c s="2386"/>
      <c s="2386"/>
      <c s="2386"/>
      <c s="2386"/>
      <c s="2386"/>
      <c s="2386"/>
      <c s="2386"/>
      <c s="722"/>
      <c s="719"/>
      <c s="628"/>
      <c s="628"/>
      <c s="629"/>
      <c s="629"/>
      <c s="629"/>
      <c s="629"/>
      <c s="630"/>
      <c s="631"/>
      <c s="2378"/>
      <c s="632"/>
      <c s="633"/>
      <c s="633"/>
      <c s="634"/>
      <c s="635"/>
      <c s="628"/>
      <c s="628"/>
      <c s="628"/>
      <c s="628"/>
      <c s="628"/>
      <c s="628"/>
      <c s="628"/>
      <c s="628"/>
      <c s="628"/>
      <c s="628"/>
      <c s="628"/>
      <c s="628"/>
      <c s="628"/>
      <c s="628"/>
      <c s="628"/>
      <c s="628"/>
      <c s="628"/>
      <c s="628"/>
      <c s="628"/>
      <c s="628"/>
      <c s="628"/>
      <c s="628"/>
      <c s="628"/>
      <c s="628"/>
      <c s="628"/>
      <c s="628"/>
      <c s="628"/>
      <c s="628"/>
      <c s="628"/>
      <c s="628"/>
      <c s="628"/>
      <c s="628"/>
      <c s="628"/>
      <c s="628"/>
      <c s="628"/>
      <c s="628"/>
      <c s="628"/>
      <c s="628"/>
      <c s="628"/>
      <c s="629"/>
      <c s="629"/>
      <c s="629"/>
      <c s="629"/>
      <c s="629"/>
      <c s="629"/>
      <c s="629"/>
      <c s="629"/>
      <c s="629"/>
      <c s="629"/>
      <c s="296">
        <v>0</v>
      </c>
    </row>
    <row r="16" spans="1:84" s="1853" customFormat="1" ht="15" customHeight="1" hidden="1">
      <c r="A16" s="626"/>
      <c s="627"/>
      <c s="627"/>
      <c s="2384"/>
      <c s="2380" t="s">
        <v>565</v>
      </c>
      <c s="2381"/>
      <c s="2382"/>
      <c s="2386" t="str">
        <f>IF(A14="","",INDEX(DIFFERENTIATION_UNMERGE_SYSTEM,MATCH(A14,DIFFERENTIATION_ID_DIFF,0)))</f>
        <v>Ейский групповой водопровод (разводящие сети)</v>
      </c>
      <c s="2386"/>
      <c s="2386"/>
      <c s="2386"/>
      <c s="2386"/>
      <c s="2386"/>
      <c s="2386"/>
      <c s="2386"/>
      <c s="2386"/>
      <c s="2386"/>
      <c s="2386"/>
      <c s="722"/>
      <c s="719"/>
      <c s="628"/>
      <c s="628"/>
      <c s="629"/>
      <c s="629"/>
      <c s="629"/>
      <c s="629"/>
      <c s="630"/>
      <c s="631"/>
      <c s="2378"/>
      <c s="632"/>
      <c s="633"/>
      <c s="633"/>
      <c s="634"/>
      <c s="635"/>
      <c s="628"/>
      <c s="628"/>
      <c s="628"/>
      <c s="628"/>
      <c s="628"/>
      <c s="628"/>
      <c s="628"/>
      <c s="628"/>
      <c s="628"/>
      <c s="628"/>
      <c s="628"/>
      <c s="628"/>
      <c s="628"/>
      <c s="628"/>
      <c s="628"/>
      <c s="628"/>
      <c s="628"/>
      <c s="628"/>
      <c s="628"/>
      <c s="628"/>
      <c s="628"/>
      <c s="628"/>
      <c s="628"/>
      <c s="628"/>
      <c s="628"/>
      <c s="628"/>
      <c s="628"/>
      <c s="628"/>
      <c s="628"/>
      <c s="628"/>
      <c s="628"/>
      <c s="628"/>
      <c s="628"/>
      <c s="628"/>
      <c s="628"/>
      <c s="628"/>
      <c s="628"/>
      <c s="628"/>
      <c s="628"/>
      <c s="629"/>
      <c s="629"/>
      <c s="629"/>
      <c s="629"/>
      <c s="629"/>
      <c s="629"/>
      <c s="629"/>
      <c s="629"/>
      <c s="629"/>
      <c s="629"/>
      <c s="296">
        <v>0</v>
      </c>
    </row>
    <row r="17" spans="1:84" s="1853" customFormat="1" ht="22.5" customHeight="1" hidden="1">
      <c r="A17" s="636"/>
      <c s="420"/>
      <c s="415"/>
      <c s="2384"/>
      <c s="2379" t="s">
        <v>610</v>
      </c>
      <c s="2379"/>
      <c s="2379"/>
      <c s="2379"/>
      <c s="2379"/>
      <c s="2379"/>
      <c s="2379"/>
      <c s="2379"/>
      <c s="2379"/>
      <c s="2379"/>
      <c s="2379"/>
      <c s="2379"/>
      <c s="561">
        <f>SUMIF(T18:T19,"i",Q18:Q19)</f>
        <v>0</v>
      </c>
      <c s="1020"/>
      <c s="900" t="s">
        <v>611</v>
      </c>
      <c s="720" t="s">
        <v>612</v>
      </c>
      <c s="2377">
        <v>1</v>
      </c>
      <c s="2377" t="str">
        <f>INDEX(B_FHD_FLAG_INDEX_1,1,MATCH(A14,B_FHD_FLAG_DIFFERENTIATION,0))</f>
        <v>отсутствует</v>
      </c>
      <c s="420"/>
      <c s="420"/>
      <c s="420"/>
      <c s="420"/>
      <c s="514"/>
      <c s="420"/>
      <c s="2378"/>
      <c s="632"/>
      <c s="420"/>
      <c s="420"/>
      <c s="514"/>
      <c s="514"/>
      <c s="514"/>
      <c s="514"/>
      <c s="514"/>
      <c s="514"/>
      <c s="514"/>
      <c s="514"/>
      <c s="514"/>
      <c s="514"/>
      <c s="514"/>
      <c s="514"/>
      <c s="514"/>
      <c s="514"/>
      <c s="514"/>
      <c s="514"/>
      <c s="514"/>
      <c s="514"/>
      <c s="514"/>
      <c s="514"/>
      <c s="514"/>
      <c s="514"/>
      <c s="514"/>
      <c s="514"/>
      <c s="514"/>
      <c s="514"/>
      <c s="514"/>
      <c s="514"/>
      <c s="514"/>
      <c s="514"/>
      <c s="514"/>
      <c s="514"/>
      <c s="514"/>
      <c s="514"/>
      <c s="514"/>
      <c s="514"/>
      <c s="514"/>
      <c s="514"/>
      <c s="514"/>
      <c s="514"/>
      <c s="514"/>
      <c s="420"/>
      <c s="420"/>
      <c s="420"/>
      <c s="420"/>
      <c s="420"/>
      <c s="420"/>
      <c s="420"/>
      <c s="420"/>
      <c s="420"/>
      <c s="420"/>
      <c s="296">
        <v>0</v>
      </c>
    </row>
    <row r="18" spans="1:84" s="1853" customFormat="1" ht="11.25" customHeight="1" hidden="1">
      <c r="A18" s="637"/>
      <c s="514"/>
      <c s="514"/>
      <c s="2384"/>
      <c s="638"/>
      <c s="638">
        <v>0</v>
      </c>
      <c s="638"/>
      <c s="638"/>
      <c s="638"/>
      <c s="638"/>
      <c s="638"/>
      <c s="638"/>
      <c s="638"/>
      <c s="638"/>
      <c s="638"/>
      <c s="638"/>
      <c s="638"/>
      <c s="638"/>
      <c s="639"/>
      <c s="721"/>
      <c s="2377"/>
      <c s="2377"/>
      <c s="514"/>
      <c s="514"/>
      <c s="514"/>
      <c s="514"/>
      <c s="514"/>
      <c s="420"/>
      <c s="2378"/>
      <c s="632"/>
      <c s="420"/>
      <c s="420"/>
      <c s="514"/>
      <c s="514"/>
      <c s="514"/>
      <c s="514"/>
      <c s="514"/>
      <c s="514"/>
      <c s="514"/>
      <c s="514"/>
      <c s="514"/>
      <c s="514"/>
      <c s="514"/>
      <c s="514"/>
      <c s="514"/>
      <c s="514"/>
      <c s="514"/>
      <c s="514"/>
      <c s="514"/>
      <c s="514"/>
      <c s="514"/>
      <c s="514"/>
      <c s="514"/>
      <c s="514"/>
      <c s="514"/>
      <c s="514"/>
      <c s="514"/>
      <c s="514"/>
      <c s="514"/>
      <c s="514"/>
      <c s="514"/>
      <c s="514"/>
      <c s="514"/>
      <c s="514"/>
      <c s="514"/>
      <c s="514"/>
      <c s="514"/>
      <c s="514"/>
      <c s="514"/>
      <c s="514"/>
      <c s="514"/>
      <c s="514"/>
      <c s="514"/>
      <c s="514"/>
      <c s="514"/>
      <c s="514"/>
      <c s="514"/>
      <c s="514"/>
      <c s="514"/>
      <c s="514"/>
      <c s="514"/>
      <c s="514"/>
      <c s="514"/>
      <c s="296">
        <v>0</v>
      </c>
    </row>
    <row r="19" spans="1:84" s="1853" customFormat="1" ht="11.25" customHeight="1" hidden="1">
      <c r="A19" s="636"/>
      <c s="420"/>
      <c s="415"/>
      <c s="2384"/>
      <c s="652" t="s">
        <v>22</v>
      </c>
      <c s="653" t="s">
        <v>22</v>
      </c>
      <c s="653" t="s">
        <v>22</v>
      </c>
      <c s="654" t="s">
        <v>22</v>
      </c>
      <c s="654"/>
      <c s="654"/>
      <c s="654"/>
      <c s="654"/>
      <c s="654"/>
      <c s="654"/>
      <c s="654"/>
      <c s="654"/>
      <c s="654"/>
      <c s="655"/>
      <c s="1023"/>
      <c s="721"/>
      <c s="2377"/>
      <c s="2377"/>
      <c s="420"/>
      <c s="420"/>
      <c s="420"/>
      <c s="420"/>
      <c s="514"/>
      <c s="420"/>
      <c s="2378"/>
      <c s="632"/>
      <c s="420"/>
      <c s="420"/>
      <c s="514"/>
      <c s="514"/>
      <c s="514"/>
      <c s="514"/>
      <c s="514"/>
      <c s="514"/>
      <c s="514"/>
      <c s="514"/>
      <c s="514"/>
      <c s="514"/>
      <c s="514"/>
      <c s="514"/>
      <c s="514"/>
      <c s="514"/>
      <c s="514"/>
      <c s="514"/>
      <c s="514"/>
      <c s="514"/>
      <c s="514"/>
      <c s="514"/>
      <c s="514"/>
      <c s="514"/>
      <c s="514"/>
      <c s="514"/>
      <c s="514"/>
      <c s="514"/>
      <c s="514"/>
      <c s="514"/>
      <c s="514"/>
      <c s="514"/>
      <c s="514"/>
      <c s="514"/>
      <c s="514"/>
      <c s="514"/>
      <c s="514"/>
      <c s="514"/>
      <c s="514"/>
      <c s="514"/>
      <c s="514"/>
      <c s="514"/>
      <c s="514"/>
      <c s="420"/>
      <c s="420"/>
      <c s="420"/>
      <c s="420"/>
      <c s="420"/>
      <c s="420"/>
      <c s="420"/>
      <c s="420"/>
      <c s="420"/>
      <c s="420"/>
      <c s="296">
        <v>0</v>
      </c>
    </row>
    <row r="20" spans="1:84" s="1853" customFormat="1" ht="22.5" customHeight="1" hidden="1">
      <c r="A20" s="636"/>
      <c s="420"/>
      <c s="415"/>
      <c s="2384"/>
      <c s="2379" t="s">
        <v>613</v>
      </c>
      <c s="2379"/>
      <c s="2379"/>
      <c s="2379"/>
      <c s="2379"/>
      <c s="2379"/>
      <c s="2379"/>
      <c s="2379"/>
      <c s="2379"/>
      <c s="2379"/>
      <c s="2379"/>
      <c s="2379"/>
      <c s="561">
        <f>SUMIF(T21:T22,"i",Q21:Q22)</f>
        <v>0</v>
      </c>
      <c s="1020"/>
      <c s="712" t="s">
        <v>614</v>
      </c>
      <c s="720" t="s">
        <v>612</v>
      </c>
      <c s="2377">
        <v>2</v>
      </c>
      <c s="2377" t="str">
        <f>INDEX(B_FHD_FLAG_INDEX_2,1,MATCH(A14,B_FHD_FLAG_DIFFERENTIATION,0))</f>
        <v>отсутствует</v>
      </c>
      <c s="420"/>
      <c s="420"/>
      <c s="420"/>
      <c s="420"/>
      <c s="514"/>
      <c s="420"/>
      <c s="709"/>
      <c s="632"/>
      <c s="420"/>
      <c s="420"/>
      <c s="514"/>
      <c s="514"/>
      <c s="514"/>
      <c s="514"/>
      <c s="514"/>
      <c s="514"/>
      <c s="514"/>
      <c s="514"/>
      <c s="514"/>
      <c s="514"/>
      <c s="514"/>
      <c s="514"/>
      <c s="514"/>
      <c s="514"/>
      <c s="514"/>
      <c s="514"/>
      <c s="514"/>
      <c s="514"/>
      <c s="514"/>
      <c s="514"/>
      <c s="514"/>
      <c s="514"/>
      <c s="514"/>
      <c s="514"/>
      <c s="514"/>
      <c s="514"/>
      <c s="514"/>
      <c s="514"/>
      <c s="514"/>
      <c s="514"/>
      <c s="514"/>
      <c s="514"/>
      <c s="514"/>
      <c s="514"/>
      <c s="514"/>
      <c s="514"/>
      <c s="514"/>
      <c s="514"/>
      <c s="514"/>
      <c s="514"/>
      <c s="514"/>
      <c s="420"/>
      <c s="420"/>
      <c s="420"/>
      <c s="420"/>
      <c s="420"/>
      <c s="420"/>
      <c s="420"/>
      <c s="420"/>
      <c s="420"/>
      <c s="420"/>
      <c s="296">
        <v>0</v>
      </c>
    </row>
    <row r="21" spans="1:84" s="1853" customFormat="1" ht="11.25" customHeight="1" hidden="1">
      <c r="A21" s="711"/>
      <c s="514"/>
      <c s="514"/>
      <c s="2384"/>
      <c s="638"/>
      <c s="638">
        <v>0</v>
      </c>
      <c s="638"/>
      <c s="638"/>
      <c s="638"/>
      <c s="638"/>
      <c s="638"/>
      <c s="638"/>
      <c s="638"/>
      <c s="638"/>
      <c s="638"/>
      <c s="638"/>
      <c s="638"/>
      <c s="638"/>
      <c s="639"/>
      <c s="721"/>
      <c s="2377"/>
      <c s="2377"/>
      <c s="514"/>
      <c s="514"/>
      <c s="514"/>
      <c s="514"/>
      <c s="514"/>
      <c s="420"/>
      <c s="709"/>
      <c s="632"/>
      <c s="420"/>
      <c s="420"/>
      <c s="514"/>
      <c s="514"/>
      <c s="514"/>
      <c s="514"/>
      <c s="514"/>
      <c s="514"/>
      <c s="514"/>
      <c s="514"/>
      <c s="514"/>
      <c s="514"/>
      <c s="514"/>
      <c s="514"/>
      <c s="514"/>
      <c s="514"/>
      <c s="514"/>
      <c s="514"/>
      <c s="514"/>
      <c s="514"/>
      <c s="514"/>
      <c s="514"/>
      <c s="514"/>
      <c s="514"/>
      <c s="514"/>
      <c s="514"/>
      <c s="514"/>
      <c s="514"/>
      <c s="514"/>
      <c s="514"/>
      <c s="514"/>
      <c s="514"/>
      <c s="514"/>
      <c s="514"/>
      <c s="514"/>
      <c s="514"/>
      <c s="514"/>
      <c s="514"/>
      <c s="514"/>
      <c s="514"/>
      <c s="514"/>
      <c s="514"/>
      <c s="514"/>
      <c s="514"/>
      <c s="514"/>
      <c s="514"/>
      <c s="514"/>
      <c s="514"/>
      <c s="514"/>
      <c s="514"/>
      <c s="514"/>
      <c s="514"/>
      <c s="514"/>
      <c s="296">
        <v>0</v>
      </c>
    </row>
    <row r="22" spans="1:84" s="1853" customFormat="1" ht="11.25" customHeight="1" hidden="1">
      <c r="A22" s="636"/>
      <c s="420"/>
      <c s="415"/>
      <c s="2385"/>
      <c s="652" t="s">
        <v>22</v>
      </c>
      <c s="653" t="s">
        <v>22</v>
      </c>
      <c s="653" t="s">
        <v>22</v>
      </c>
      <c s="654" t="s">
        <v>22</v>
      </c>
      <c s="654"/>
      <c s="654"/>
      <c s="654"/>
      <c s="654"/>
      <c s="654"/>
      <c s="654"/>
      <c s="654"/>
      <c s="654"/>
      <c s="654"/>
      <c s="655"/>
      <c s="1023"/>
      <c s="721"/>
      <c s="2377"/>
      <c s="2377"/>
      <c s="420"/>
      <c s="420"/>
      <c s="420"/>
      <c s="420"/>
      <c s="514"/>
      <c s="420"/>
      <c s="709"/>
      <c s="632"/>
      <c s="420"/>
      <c s="420"/>
      <c s="514"/>
      <c s="514"/>
      <c s="514"/>
      <c s="514"/>
      <c s="514"/>
      <c s="514"/>
      <c s="514"/>
      <c s="514"/>
      <c s="514"/>
      <c s="514"/>
      <c s="514"/>
      <c s="514"/>
      <c s="514"/>
      <c s="514"/>
      <c s="514"/>
      <c s="514"/>
      <c s="514"/>
      <c s="514"/>
      <c s="514"/>
      <c s="514"/>
      <c s="514"/>
      <c s="514"/>
      <c s="514"/>
      <c s="514"/>
      <c s="514"/>
      <c s="514"/>
      <c s="514"/>
      <c s="514"/>
      <c s="514"/>
      <c s="514"/>
      <c s="514"/>
      <c s="514"/>
      <c s="514"/>
      <c s="514"/>
      <c s="514"/>
      <c s="514"/>
      <c s="514"/>
      <c s="514"/>
      <c s="514"/>
      <c s="514"/>
      <c s="514"/>
      <c s="420"/>
      <c s="420"/>
      <c s="420"/>
      <c s="420"/>
      <c s="420"/>
      <c s="420"/>
      <c s="420"/>
      <c s="420"/>
      <c s="420"/>
      <c s="420"/>
      <c s="296">
        <v>0</v>
      </c>
    </row>
    <row r="23" spans="4:20 84:84" ht="19.95" customHeight="1">
      <c r="D23" s="1050"/>
      <c s="1050"/>
      <c s="1050"/>
      <c s="1050"/>
      <c s="1050"/>
      <c s="1050"/>
      <c s="1050"/>
      <c s="1050"/>
      <c s="1050"/>
      <c s="1050"/>
      <c s="1050"/>
      <c s="1050"/>
      <c s="1050"/>
      <c s="1050"/>
      <c s="1050"/>
      <c s="1050"/>
      <c s="337"/>
      <c r="CF23" s="508">
        <v>19</v>
      </c>
    </row>
    <row r="24" spans="4:4 84:84" ht="11.55" customHeight="1">
      <c r="D24" s="512"/>
      <c r="CF24" s="508">
        <v>11</v>
      </c>
    </row>
    <row r="25" spans="4:7 84:84" ht="11.55" customHeight="1">
      <c r="D25" s="657"/>
      <c s="657"/>
      <c s="657"/>
      <c s="658"/>
      <c r="CF25" s="508">
        <v>11</v>
      </c>
    </row>
    <row r="26" spans="84:84" ht="11.55" customHeight="1">
      <c r="CF26" s="508">
        <v>11</v>
      </c>
    </row>
    <row r="27" spans="4:18 84:84" ht="11.55" customHeight="1">
      <c r="D27" s="659"/>
      <c s="2387"/>
      <c s="2387"/>
      <c s="2387"/>
      <c s="2387"/>
      <c s="2387"/>
      <c s="2387"/>
      <c s="2387"/>
      <c s="2387"/>
      <c s="2387"/>
      <c s="2387"/>
      <c s="2387"/>
      <c s="2387"/>
      <c s="2387"/>
      <c s="2387"/>
      <c r="CF27" s="508">
        <v>11</v>
      </c>
    </row>
    <row r="28" spans="6:7 84:84" ht="11.55" customHeight="1">
      <c r="F28" s="761"/>
      <c s="761"/>
      <c r="CF28" s="508">
        <v>11</v>
      </c>
    </row>
    <row r="29" spans="1:84" ht="11.25" customHeight="1" hidden="1">
      <c r="A29" s="613" t="s">
        <v>81</v>
      </c>
      <c s="452">
        <v>0</v>
      </c>
      <c s="508">
        <v>3</v>
      </c>
      <c s="508">
        <v>0</v>
      </c>
      <c s="508">
        <v>7</v>
      </c>
      <c s="508">
        <v>7</v>
      </c>
      <c s="508">
        <v>29</v>
      </c>
      <c s="508">
        <v>3</v>
      </c>
      <c s="508">
        <v>5</v>
      </c>
      <c s="508">
        <v>24</v>
      </c>
      <c s="508">
        <v>24</v>
      </c>
      <c s="508">
        <v>3</v>
      </c>
      <c s="508">
        <v>6</v>
      </c>
      <c s="508">
        <v>25</v>
      </c>
      <c s="508">
        <v>18</v>
      </c>
      <c s="508">
        <v>18</v>
      </c>
      <c s="508">
        <v>18</v>
      </c>
      <c s="508">
        <v>18</v>
      </c>
      <c s="508">
        <v>93</v>
      </c>
      <c s="508">
        <v>10</v>
      </c>
      <c s="614">
        <v>10</v>
      </c>
      <c s="614">
        <v>11</v>
      </c>
      <c s="615">
        <v>10</v>
      </c>
      <c s="452">
        <v>10</v>
      </c>
      <c s="452">
        <v>10</v>
      </c>
      <c s="452">
        <v>10</v>
      </c>
      <c s="452">
        <v>10</v>
      </c>
      <c s="508">
        <v>8</v>
      </c>
      <c s="508">
        <v>8</v>
      </c>
      <c s="508">
        <v>8</v>
      </c>
      <c s="508">
        <v>8</v>
      </c>
      <c s="508">
        <v>8</v>
      </c>
      <c s="508">
        <v>8</v>
      </c>
      <c s="508">
        <v>8</v>
      </c>
      <c s="508">
        <v>8</v>
      </c>
      <c s="508">
        <v>8</v>
      </c>
      <c s="508">
        <v>8</v>
      </c>
      <c s="508">
        <v>8</v>
      </c>
      <c s="508">
        <v>8</v>
      </c>
      <c s="508">
        <v>8</v>
      </c>
      <c s="508">
        <v>8</v>
      </c>
      <c s="508">
        <v>8</v>
      </c>
      <c s="508">
        <v>8</v>
      </c>
      <c s="508">
        <v>8</v>
      </c>
      <c s="508">
        <v>8</v>
      </c>
      <c s="508">
        <v>8</v>
      </c>
      <c s="508">
        <v>8</v>
      </c>
      <c s="508">
        <v>8</v>
      </c>
      <c s="508">
        <v>8</v>
      </c>
      <c s="508">
        <v>8</v>
      </c>
      <c s="508">
        <v>8</v>
      </c>
      <c s="508">
        <v>8</v>
      </c>
      <c s="508">
        <v>8</v>
      </c>
      <c s="508">
        <v>8</v>
      </c>
      <c s="508">
        <v>8</v>
      </c>
      <c s="508">
        <v>8</v>
      </c>
      <c s="508">
        <v>8</v>
      </c>
      <c s="508">
        <v>8</v>
      </c>
      <c s="508">
        <v>8</v>
      </c>
      <c s="508">
        <v>8</v>
      </c>
      <c s="508">
        <v>8</v>
      </c>
      <c s="508">
        <v>8</v>
      </c>
      <c s="508">
        <v>8</v>
      </c>
      <c s="508">
        <v>8</v>
      </c>
      <c s="508">
        <v>8</v>
      </c>
      <c s="508">
        <v>8</v>
      </c>
      <c s="508">
        <v>8</v>
      </c>
      <c s="508">
        <v>8</v>
      </c>
      <c s="508">
        <v>8</v>
      </c>
      <c s="508">
        <v>8</v>
      </c>
      <c s="508">
        <v>8</v>
      </c>
      <c s="508">
        <v>8</v>
      </c>
      <c s="508">
        <v>8</v>
      </c>
      <c s="508">
        <v>8</v>
      </c>
      <c s="508">
        <v>8</v>
      </c>
      <c s="508">
        <v>8</v>
      </c>
      <c s="508">
        <v>8</v>
      </c>
      <c s="508">
        <v>8</v>
      </c>
      <c s="508">
        <v>8</v>
      </c>
      <c s="508">
        <v>8</v>
      </c>
      <c s="508">
        <v>8</v>
      </c>
      <c s="508">
        <v>8</v>
      </c>
      <c s="508">
        <v>8</v>
      </c>
      <c s="508">
        <v>11</v>
      </c>
    </row>
  </sheetData>
  <sheetProtection formatColumns="0" formatRows="0" insertRows="0" deleteColumns="0" deleteRows="0" sort="0" autoFilter="0"/>
  <mergeCells count="22">
    <mergeCell ref="E5:K5"/>
    <mergeCell ref="E6:K6"/>
    <mergeCell ref="E9:R9"/>
    <mergeCell ref="S9:S10"/>
    <mergeCell ref="E10:F10"/>
    <mergeCell ref="H10:I10"/>
    <mergeCell ref="L10:M10"/>
    <mergeCell ref="D14:D22"/>
    <mergeCell ref="H14:R14"/>
    <mergeCell ref="H15:R15"/>
    <mergeCell ref="H16:R16"/>
    <mergeCell ref="E27:R27"/>
    <mergeCell ref="E20:P20"/>
    <mergeCell ref="U20:U22"/>
    <mergeCell ref="V20:V22"/>
    <mergeCell ref="AC14:AC19"/>
    <mergeCell ref="E17:P17"/>
    <mergeCell ref="U17:U19"/>
    <mergeCell ref="V17:V19"/>
    <mergeCell ref="E14:G14"/>
    <mergeCell ref="E15:G15"/>
    <mergeCell ref="E16:G16"/>
  </mergeCells>
  <pageMargins left="0.7" right="0.7" top="0.75" bottom="0.75" header="0.3" footer="0.3"/>
  <pageSetup orientation="portrait" paperSize="9"/>
</worksheet>
</file>

<file path=xl/worksheets/sheet3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m="http://schemas.microsoft.com/office/excel/2006/main" xmlns:x14ac="http://schemas.microsoft.com/office/spreadsheetml/2009/9/ac" xmlns:xr="http://schemas.microsoft.com/office/spreadsheetml/2014/revision" xmlns:xr2="http://schemas.microsoft.com/office/spreadsheetml/2015/revision2" xmlns:xr3="http://schemas.microsoft.com/office/spreadsheetml/2016/revision3" xr:uid="{8308D51F-9FB2-576D-1AE7-42B9E00CBB34}" mc:Ignorable="x14ac xr xr2 xr3">
  <sheetPr>
    <tabColor theme="9" tint="-0.249980002641678"/>
  </sheetPr>
  <dimension ref="A1:AK204"/>
  <sheetViews>
    <sheetView showGridLines="0" zoomScale="90" zoomScaleNormal="90" workbookViewId="0" topLeftCell="A1">
      <pane xSplit="12" ySplit="14" topLeftCell="M15" activePane="bottomRight" state="frozen"/>
      <selection pane="topLeft" activeCell="A1" sqref="A1"/>
      <selection pane="bottomLeft" activeCell="A15" sqref="A15"/>
      <selection pane="topRight" activeCell="M1" sqref="M1"/>
      <selection pane="bottomRight" activeCell="A1" sqref="A1"/>
    </sheetView>
  </sheetViews>
  <sheetFormatPr defaultColWidth="9.14428571428571" defaultRowHeight="11.25" customHeight="1"/>
  <cols>
    <col min="1" max="5" width="10.7142857142857" style="990" hidden="1" customWidth="1"/>
    <col min="6" max="6" width="16.8571428571429" style="1369" hidden="1" customWidth="1"/>
    <col min="7" max="7" width="5.57142857142857" style="1645" hidden="1" customWidth="1"/>
    <col min="8" max="8" width="3" style="1638" customWidth="1"/>
    <col min="9" max="9" width="7" style="1638" customWidth="1"/>
    <col min="10" max="10" width="56" style="1638" customWidth="1"/>
    <col min="11" max="11" width="10" style="1638" customWidth="1"/>
    <col min="12" max="12" width="40.5714285714286" style="1638" hidden="1" customWidth="1"/>
    <col min="13" max="13" width="40.7142857142857" style="1638" customWidth="1"/>
    <col min="14" max="14" width="9.71428571428571" style="1369" hidden="1" customWidth="1"/>
    <col min="15" max="15" width="102" style="1638" customWidth="1"/>
    <col min="16" max="16" width="9" style="1369" customWidth="1"/>
    <col min="17" max="17" width="5" style="1645" customWidth="1"/>
    <col min="18" max="18" width="3" style="1645" customWidth="1"/>
    <col min="19" max="22" width="3" style="1369" customWidth="1"/>
    <col min="23" max="23" width="10" style="1645" customWidth="1"/>
    <col min="24" max="24" width="34" style="1369" customWidth="1"/>
    <col min="25" max="25" width="9" style="1369" customWidth="1"/>
    <col min="26" max="26" width="8" style="739" customWidth="1"/>
    <col min="27" max="31" width="8" style="1369" customWidth="1"/>
    <col min="32" max="36" width="8" style="1635" customWidth="1"/>
    <col min="37" max="37" width="5.42857142857143" style="1638" hidden="1" customWidth="1"/>
  </cols>
  <sheetData>
    <row r="1" spans="1:37" s="1369" customFormat="1" ht="33.75" customHeight="1" hidden="1">
      <c r="A1" s="990"/>
      <c s="990"/>
      <c s="990"/>
      <c s="990"/>
      <c s="990"/>
      <c r="G1" s="1639"/>
      <c s="881"/>
      <c r="L1" s="1369">
        <v>4</v>
      </c>
      <c s="1369">
        <v>4</v>
      </c>
      <c r="Q1" s="1639"/>
      <c s="1639"/>
      <c r="W1" s="1639"/>
      <c r="AK1" s="1369" t="s">
        <v>14</v>
      </c>
    </row>
    <row r="2" spans="1:37" s="1369" customFormat="1" ht="78.75" customHeight="1" hidden="1">
      <c r="A2" s="990"/>
      <c s="2056" t="s">
        <v>615</v>
      </c>
      <c s="2056" t="s">
        <v>616</v>
      </c>
      <c s="2055" t="s">
        <v>617</v>
      </c>
      <c s="2059">
        <f>RIGHT(I2,LEN(I2)-SEARCH("#",SUBSTITUTE(I2,".","#",LEN(I2)-LEN(SUBSTITUTE(I2,".","")))))</f>
      </c>
      <c s="2061">
        <f>J2</f>
        <v>0</v>
      </c>
      <c s="1639"/>
      <c s="2062"/>
      <c s="2052"/>
      <c s="543"/>
      <c s="2022" t="s">
        <v>556</v>
      </c>
      <c s="754"/>
      <c s="754"/>
      <c s="546"/>
      <c s="1528" t="s">
        <v>557</v>
      </c>
      <c s="546"/>
      <c s="1639"/>
      <c s="1639"/>
      <c r="W2" s="1639"/>
      <c r="Z2" s="547"/>
      <c r="AF2" s="1635"/>
      <c s="1635"/>
      <c s="1635"/>
      <c s="1635"/>
      <c s="1635"/>
      <c s="1369">
        <v>0</v>
      </c>
    </row>
    <row r="3" spans="5:37" ht="11.25" customHeight="1" hidden="1">
      <c r="E3" s="2054" t="s">
        <v>618</v>
      </c>
      <c r="L3" s="1634">
        <f>0</f>
        <v>0</v>
      </c>
      <c s="1634">
        <v>1</v>
      </c>
      <c r="AK3" s="1634">
        <v>0</v>
      </c>
    </row>
    <row r="4" spans="1:37" s="1635" customFormat="1" ht="11.25" customHeight="1" hidden="1">
      <c r="A4" s="990"/>
      <c s="990"/>
      <c s="990"/>
      <c r="E4" s="990"/>
      <c s="1369"/>
      <c s="1639"/>
      <c s="623"/>
      <c r="N4" s="1369"/>
      <c s="1635">
        <v>4</v>
      </c>
      <c s="1369"/>
      <c s="1639"/>
      <c s="1639"/>
      <c s="1369"/>
      <c s="1369"/>
      <c s="1369"/>
      <c s="1369"/>
      <c s="1639"/>
      <c s="1369"/>
      <c s="1369"/>
      <c s="547"/>
      <c s="1369"/>
      <c s="1369"/>
      <c s="1369"/>
      <c s="1369"/>
      <c s="1369"/>
      <c r="AK4" s="1635">
        <v>0</v>
      </c>
    </row>
    <row r="5" spans="37:37" ht="11.55" customHeight="1">
      <c r="AK5" s="1634">
        <v>11</v>
      </c>
    </row>
    <row r="6" spans="9:37" ht="57.75" customHeight="1">
      <c r="I6" s="2310" t="s">
        <v>619</v>
      </c>
      <c s="2310"/>
      <c s="2310"/>
      <c s="2310"/>
      <c s="2310"/>
      <c r="O6" s="559"/>
      <c r="AK6" s="1634">
        <v>55</v>
      </c>
    </row>
    <row r="7" spans="9:37" ht="25.2" customHeight="1">
      <c r="I7" s="2252" t="str">
        <f>IF(org=0,"Не определено",org)</f>
        <v>ГУП КК "Кубаньводкомплекс"</v>
      </c>
      <c s="2252"/>
      <c s="2252"/>
      <c s="2252"/>
      <c s="2252"/>
      <c r="AK7" s="1634">
        <v>24</v>
      </c>
    </row>
    <row r="8" spans="9:37" ht="11.55" customHeight="1">
      <c r="I8" s="1138"/>
      <c s="1138"/>
      <c s="1138"/>
      <c s="1138"/>
      <c s="1138"/>
      <c r="AK8" s="1634">
        <v>11</v>
      </c>
    </row>
    <row r="9" spans="1:37" s="1645" customFormat="1" ht="30" customHeight="1" hidden="1">
      <c r="A9" s="1170"/>
      <c s="1170"/>
      <c s="1170"/>
      <c r="E9" s="1170"/>
      <c r="H9" s="1645"/>
      <c r="L9" s="892"/>
      <c s="892" t="s">
        <v>118</v>
      </c>
      <c r="AK9" s="1639">
        <v>1</v>
      </c>
    </row>
    <row r="10" spans="5:37" ht="11.55" customHeight="1">
      <c r="E10" s="2053" t="s">
        <v>620</v>
      </c>
      <c r="I10" s="714"/>
      <c s="2370" t="s">
        <v>105</v>
      </c>
      <c s="2371"/>
      <c s="2032" t="str">
        <f>IF(L9="","",INDEX(DIFFERENTIATION_UNMERGE_VD,MATCH(L9,DIFFERENTIATION_ID_DIFF,0)))</f>
        <v/>
      </c>
      <c s="2032" t="str">
        <f>IF(M9="","",INDEX(DIFFERENTIATION_UNMERGE_VD,MATCH(M9,DIFFERENTIATION_ID_DIFF,0)))</f>
        <v>Водоотведение; Транспортировка; Подключение (технологическое присоединение) к централизованной системе водоотведения</v>
      </c>
      <c r="O10" s="2130" t="s">
        <v>301</v>
      </c>
      <c r="AK10" s="1634">
        <v>11</v>
      </c>
    </row>
    <row r="11" spans="5:37" ht="11.55" customHeight="1">
      <c r="E11" s="2053" t="s">
        <v>621</v>
      </c>
      <c r="I11" s="714"/>
      <c s="2370" t="s">
        <v>564</v>
      </c>
      <c s="2371"/>
      <c s="2032" t="str">
        <f>IF(L9="","",INDEX(DIFFERENTIATION_UNMERGE_AREA,MATCH(L9,DIFFERENTIATION_ID_DIFF,0)))</f>
        <v/>
      </c>
      <c s="2032" t="str">
        <f>IF(M9="","",INDEX(DIFFERENTIATION_UNMERGE_AREA,MATCH(M9,DIFFERENTIATION_ID_DIFF,0)))</f>
        <v>Территория 1</v>
      </c>
      <c r="O11" s="2130"/>
      <c r="AK11" s="1634">
        <v>11</v>
      </c>
    </row>
    <row r="12" spans="5:37" ht="11.55" customHeight="1">
      <c r="E12" s="2053" t="s">
        <v>622</v>
      </c>
      <c r="I12" s="1665"/>
      <c s="2370" t="s">
        <v>565</v>
      </c>
      <c s="2371"/>
      <c s="2032" t="str">
        <f>IF(L9="","",INDEX(DIFFERENTIATION_UNMERGE_SYSTEM,MATCH(L9,DIFFERENTIATION_ID_DIFF,0)))</f>
        <v/>
      </c>
      <c s="2032" t="str">
        <f>IF(M9="","",INDEX(DIFFERENTIATION_UNMERGE_SYSTEM,MATCH(M9,DIFFERENTIATION_ID_DIFF,0)))</f>
        <v>Ейский групповой водопровод (разводящие сети)</v>
      </c>
      <c r="O12" s="2130"/>
      <c r="AK12" s="1634">
        <v>11</v>
      </c>
    </row>
    <row r="13" spans="5:37" ht="11.55" customHeight="1">
      <c r="E13" s="2053" t="s">
        <v>623</v>
      </c>
      <c s="2053" t="s">
        <v>624</v>
      </c>
      <c r="I13" s="2372" t="s">
        <v>300</v>
      </c>
      <c s="2373"/>
      <c s="2373"/>
      <c s="2030"/>
      <c s="2070"/>
      <c r="O13" s="2130"/>
      <c r="AK13" s="1634">
        <v>11</v>
      </c>
    </row>
    <row r="14" spans="9:37" ht="24" customHeight="1">
      <c r="I14" s="2023" t="s">
        <v>87</v>
      </c>
      <c s="2023" t="s">
        <v>302</v>
      </c>
      <c s="2023" t="s">
        <v>566</v>
      </c>
      <c s="2063" t="s">
        <v>303</v>
      </c>
      <c s="2064" t="s">
        <v>303</v>
      </c>
      <c r="O14" s="2130"/>
      <c r="AK14" s="1634">
        <v>23</v>
      </c>
    </row>
    <row r="15" spans="1:37" ht="24" customHeight="1">
      <c r="A15" s="2057"/>
      <c s="2056" t="s">
        <v>625</v>
      </c>
      <c s="2056" t="s">
        <v>626</v>
      </c>
      <c s="2055" t="s">
        <v>627</v>
      </c>
      <c s="2059" t="s">
        <v>628</v>
      </c>
      <c s="2059" t="s">
        <v>628</v>
      </c>
      <c s="1639" t="s">
        <v>588</v>
      </c>
      <c s="2024"/>
      <c s="1633">
        <v>1</v>
      </c>
      <c s="2025" t="s">
        <v>629</v>
      </c>
      <c s="2023" t="s">
        <v>306</v>
      </c>
      <c s="665"/>
      <c s="821"/>
      <c s="546" t="s">
        <v>630</v>
      </c>
      <c s="1528" t="s">
        <v>631</v>
      </c>
      <c s="546" t="s">
        <v>630</v>
      </c>
      <c r="AK15" s="1634">
        <v>23</v>
      </c>
    </row>
    <row r="16" spans="1:37" ht="35.7" customHeight="1">
      <c r="A16" s="2057"/>
      <c s="2056" t="s">
        <v>632</v>
      </c>
      <c s="2056" t="s">
        <v>633</v>
      </c>
      <c s="2055" t="s">
        <v>617</v>
      </c>
      <c s="2059" t="s">
        <v>628</v>
      </c>
      <c s="2059" t="s">
        <v>628</v>
      </c>
      <c r="H16" s="2024"/>
      <c s="1632">
        <v>2</v>
      </c>
      <c s="2066" t="s">
        <v>634</v>
      </c>
      <c s="2065" t="s">
        <v>556</v>
      </c>
      <c s="2071"/>
      <c s="1679"/>
      <c s="546" t="s">
        <v>630</v>
      </c>
      <c s="1528" t="s">
        <v>635</v>
      </c>
      <c s="546" t="s">
        <v>630</v>
      </c>
      <c r="AK16" s="1634">
        <v>34</v>
      </c>
    </row>
    <row r="17" spans="1:37" s="1645" customFormat="1" ht="17.25" customHeight="1" hidden="1">
      <c r="A17" s="1170"/>
      <c s="1170"/>
      <c s="1170"/>
      <c s="1170"/>
      <c s="1170"/>
      <c r="H17" s="1327"/>
      <c s="1016" t="s">
        <v>636</v>
      </c>
      <c s="994"/>
      <c s="1016"/>
      <c s="995"/>
      <c s="995"/>
      <c r="O17" s="1388"/>
      <c r="AK17" s="1639">
        <v>1</v>
      </c>
    </row>
    <row r="18" spans="1:37" s="1369" customFormat="1" ht="24" customHeight="1">
      <c r="A18" s="990"/>
      <c s="990"/>
      <c s="990"/>
      <c s="990"/>
      <c s="990"/>
      <c r="G18" s="1639"/>
      <c s="1636"/>
      <c s="573"/>
      <c s="574" t="s">
        <v>586</v>
      </c>
      <c s="575"/>
      <c s="2073"/>
      <c s="576"/>
      <c s="546"/>
      <c s="1528" t="s">
        <v>587</v>
      </c>
      <c s="546"/>
      <c s="1639"/>
      <c s="1639"/>
      <c r="W18" s="1639"/>
      <c r="Z18" s="547"/>
      <c r="AF18" s="1635"/>
      <c s="1635"/>
      <c s="1635"/>
      <c s="1635"/>
      <c s="1635"/>
      <c s="1369">
        <v>23</v>
      </c>
    </row>
    <row r="19" spans="1:37" ht="19.95" customHeight="1">
      <c r="A19" s="2057"/>
      <c s="2056" t="s">
        <v>637</v>
      </c>
      <c s="2056" t="s">
        <v>638</v>
      </c>
      <c s="2055" t="s">
        <v>617</v>
      </c>
      <c s="2059" t="s">
        <v>628</v>
      </c>
      <c s="2059" t="s">
        <v>628</v>
      </c>
      <c r="H19" s="2024"/>
      <c s="1667">
        <v>3</v>
      </c>
      <c s="2025" t="s">
        <v>638</v>
      </c>
      <c s="2021" t="s">
        <v>556</v>
      </c>
      <c s="730"/>
      <c s="560"/>
      <c s="546"/>
      <c s="1528" t="s">
        <v>639</v>
      </c>
      <c s="546"/>
      <c r="AK19" s="1634">
        <v>19</v>
      </c>
    </row>
    <row r="20" spans="1:37" ht="77.7" customHeight="1">
      <c r="A20" s="2057"/>
      <c s="2056" t="s">
        <v>640</v>
      </c>
      <c s="2056" t="s">
        <v>641</v>
      </c>
      <c s="2055" t="s">
        <v>617</v>
      </c>
      <c s="2059" t="s">
        <v>628</v>
      </c>
      <c s="2059" t="s">
        <v>628</v>
      </c>
      <c r="H20" s="2024"/>
      <c s="1667">
        <v>4</v>
      </c>
      <c s="2025" t="s">
        <v>642</v>
      </c>
      <c s="2021" t="s">
        <v>583</v>
      </c>
      <c s="730"/>
      <c s="560"/>
      <c s="546"/>
      <c s="1528"/>
      <c s="546"/>
      <c r="AK20" s="1634">
        <v>74</v>
      </c>
    </row>
    <row r="21" spans="1:37" ht="35.7" customHeight="1">
      <c r="A21" s="2057"/>
      <c s="2056" t="s">
        <v>643</v>
      </c>
      <c s="2056" t="s">
        <v>644</v>
      </c>
      <c s="2055" t="s">
        <v>617</v>
      </c>
      <c s="2059" t="s">
        <v>628</v>
      </c>
      <c s="2059" t="s">
        <v>628</v>
      </c>
      <c r="H21" s="2024"/>
      <c s="1667">
        <v>5</v>
      </c>
      <c s="2025" t="s">
        <v>645</v>
      </c>
      <c s="2021" t="s">
        <v>583</v>
      </c>
      <c s="730"/>
      <c s="560"/>
      <c s="546"/>
      <c s="1528" t="s">
        <v>639</v>
      </c>
      <c s="546"/>
      <c r="AK21" s="1634">
        <v>34</v>
      </c>
    </row>
    <row r="22" spans="1:37" ht="48.3" customHeight="1">
      <c r="A22" s="2057"/>
      <c s="2056" t="s">
        <v>646</v>
      </c>
      <c s="2056" t="s">
        <v>647</v>
      </c>
      <c s="2055" t="s">
        <v>617</v>
      </c>
      <c s="2059" t="s">
        <v>628</v>
      </c>
      <c s="2059" t="s">
        <v>628</v>
      </c>
      <c r="H22" s="2024"/>
      <c s="1667">
        <v>6</v>
      </c>
      <c s="2025" t="s">
        <v>648</v>
      </c>
      <c s="2021" t="s">
        <v>583</v>
      </c>
      <c s="730"/>
      <c s="560"/>
      <c s="546"/>
      <c s="1528" t="s">
        <v>649</v>
      </c>
      <c s="546"/>
      <c r="AK22" s="1634">
        <v>46</v>
      </c>
    </row>
    <row r="23" spans="1:37" ht="19.95" customHeight="1">
      <c r="A23" s="2057"/>
      <c s="2056" t="s">
        <v>650</v>
      </c>
      <c s="2056" t="s">
        <v>651</v>
      </c>
      <c s="2055" t="s">
        <v>617</v>
      </c>
      <c s="2059" t="s">
        <v>628</v>
      </c>
      <c s="2059" t="s">
        <v>628</v>
      </c>
      <c r="H23" s="2024"/>
      <c s="1667" t="s">
        <v>652</v>
      </c>
      <c s="1527" t="s">
        <v>653</v>
      </c>
      <c s="2021" t="s">
        <v>583</v>
      </c>
      <c s="730"/>
      <c s="560"/>
      <c s="546"/>
      <c s="1528" t="s">
        <v>639</v>
      </c>
      <c s="546"/>
      <c r="AK23" s="1634">
        <v>19</v>
      </c>
    </row>
    <row r="24" spans="1:37" ht="19.95" customHeight="1">
      <c r="A24" s="2057"/>
      <c s="2056" t="s">
        <v>654</v>
      </c>
      <c s="2056" t="s">
        <v>655</v>
      </c>
      <c s="2055" t="s">
        <v>617</v>
      </c>
      <c s="2059" t="s">
        <v>628</v>
      </c>
      <c s="2059" t="s">
        <v>628</v>
      </c>
      <c r="H24" s="2024"/>
      <c s="1667" t="s">
        <v>656</v>
      </c>
      <c s="1527" t="s">
        <v>657</v>
      </c>
      <c s="2021" t="s">
        <v>583</v>
      </c>
      <c s="730"/>
      <c s="560"/>
      <c s="546"/>
      <c s="1528"/>
      <c s="546"/>
      <c r="AK24" s="1634">
        <v>19</v>
      </c>
    </row>
    <row r="25" spans="1:37" ht="24" customHeight="1">
      <c r="A25" s="2057"/>
      <c s="2056" t="s">
        <v>658</v>
      </c>
      <c s="2056" t="s">
        <v>659</v>
      </c>
      <c s="2055" t="s">
        <v>617</v>
      </c>
      <c s="2059" t="s">
        <v>628</v>
      </c>
      <c s="2059" t="s">
        <v>628</v>
      </c>
      <c r="H25" s="2024"/>
      <c s="1667" t="s">
        <v>660</v>
      </c>
      <c s="1527" t="s">
        <v>661</v>
      </c>
      <c s="2021" t="s">
        <v>583</v>
      </c>
      <c s="730"/>
      <c s="560"/>
      <c s="546"/>
      <c s="1528"/>
      <c s="546"/>
      <c r="AK25" s="1634">
        <v>23</v>
      </c>
    </row>
    <row r="26" spans="1:37" ht="24" customHeight="1">
      <c r="A26" s="2057"/>
      <c s="2056" t="s">
        <v>662</v>
      </c>
      <c s="2056" t="s">
        <v>663</v>
      </c>
      <c s="2055" t="s">
        <v>617</v>
      </c>
      <c s="2059" t="s">
        <v>628</v>
      </c>
      <c s="2059" t="s">
        <v>628</v>
      </c>
      <c r="H26" s="2024"/>
      <c s="1667">
        <v>7</v>
      </c>
      <c s="2025" t="s">
        <v>663</v>
      </c>
      <c s="2021" t="s">
        <v>664</v>
      </c>
      <c s="730"/>
      <c s="560"/>
      <c s="546"/>
      <c s="1528"/>
      <c s="546"/>
      <c r="AK26" s="1634">
        <v>23</v>
      </c>
    </row>
    <row r="27" spans="1:37" ht="24" customHeight="1">
      <c r="A27" s="2057"/>
      <c s="2056" t="s">
        <v>665</v>
      </c>
      <c s="2056" t="s">
        <v>666</v>
      </c>
      <c s="2055" t="s">
        <v>617</v>
      </c>
      <c s="2059" t="s">
        <v>628</v>
      </c>
      <c s="2059" t="s">
        <v>628</v>
      </c>
      <c r="H27" s="2024"/>
      <c s="1667">
        <v>8</v>
      </c>
      <c s="2025" t="s">
        <v>666</v>
      </c>
      <c s="2021" t="s">
        <v>589</v>
      </c>
      <c s="730"/>
      <c s="560"/>
      <c s="546"/>
      <c s="1528"/>
      <c s="546"/>
      <c r="AK27" s="1634">
        <v>23</v>
      </c>
    </row>
    <row r="28" spans="1:37" ht="35.7" customHeight="1">
      <c r="A28" s="2057"/>
      <c s="2056" t="s">
        <v>667</v>
      </c>
      <c s="2056" t="s">
        <v>668</v>
      </c>
      <c s="2055" t="s">
        <v>617</v>
      </c>
      <c s="2059" t="s">
        <v>628</v>
      </c>
      <c s="2059" t="s">
        <v>628</v>
      </c>
      <c r="H28" s="2024"/>
      <c s="1678">
        <v>9</v>
      </c>
      <c s="2025" t="s">
        <v>669</v>
      </c>
      <c s="2021" t="s">
        <v>560</v>
      </c>
      <c s="730"/>
      <c s="560"/>
      <c s="546"/>
      <c s="1528"/>
      <c s="546"/>
      <c r="AK28" s="1634">
        <v>34</v>
      </c>
    </row>
    <row r="29" spans="1:37" ht="35.7" customHeight="1">
      <c r="A29" s="2057"/>
      <c s="2056" t="s">
        <v>670</v>
      </c>
      <c s="2056" t="s">
        <v>671</v>
      </c>
      <c s="2055" t="s">
        <v>617</v>
      </c>
      <c s="2059" t="s">
        <v>628</v>
      </c>
      <c s="2059" t="s">
        <v>628</v>
      </c>
      <c r="H29" s="2024"/>
      <c s="1678">
        <v>10</v>
      </c>
      <c s="2025" t="s">
        <v>672</v>
      </c>
      <c s="2021" t="s">
        <v>560</v>
      </c>
      <c s="730"/>
      <c s="560"/>
      <c s="546"/>
      <c s="1528"/>
      <c s="546"/>
      <c r="AK29" s="1634">
        <v>34</v>
      </c>
    </row>
    <row r="30" spans="1:37" ht="24" customHeight="1">
      <c r="A30" s="2057"/>
      <c s="2056" t="s">
        <v>673</v>
      </c>
      <c s="2056" t="s">
        <v>674</v>
      </c>
      <c s="2055" t="s">
        <v>617</v>
      </c>
      <c s="2059" t="s">
        <v>628</v>
      </c>
      <c s="2059" t="s">
        <v>628</v>
      </c>
      <c r="H30" s="2024"/>
      <c s="1678">
        <v>11</v>
      </c>
      <c s="2025" t="s">
        <v>674</v>
      </c>
      <c s="2021" t="s">
        <v>590</v>
      </c>
      <c s="2072"/>
      <c s="1624"/>
      <c s="546"/>
      <c s="1528"/>
      <c s="546"/>
      <c r="AK30" s="1634">
        <v>23</v>
      </c>
    </row>
    <row r="31" spans="1:37" ht="24" customHeight="1">
      <c r="A31" s="2057"/>
      <c s="2056" t="s">
        <v>675</v>
      </c>
      <c s="2056" t="s">
        <v>676</v>
      </c>
      <c s="2055" t="s">
        <v>617</v>
      </c>
      <c s="2059" t="s">
        <v>628</v>
      </c>
      <c s="2059" t="s">
        <v>628</v>
      </c>
      <c r="H31" s="2024"/>
      <c s="1678">
        <v>12</v>
      </c>
      <c s="2025" t="s">
        <v>676</v>
      </c>
      <c s="2021" t="s">
        <v>590</v>
      </c>
      <c s="2072"/>
      <c s="1624"/>
      <c s="546"/>
      <c s="1528"/>
      <c s="546"/>
      <c r="AK31" s="1634">
        <v>23</v>
      </c>
    </row>
    <row r="32" spans="1:37" ht="48.3" customHeight="1">
      <c r="A32" s="2057"/>
      <c s="2056" t="s">
        <v>677</v>
      </c>
      <c s="2056" t="s">
        <v>678</v>
      </c>
      <c s="2055" t="s">
        <v>617</v>
      </c>
      <c s="2059" t="s">
        <v>628</v>
      </c>
      <c s="2059" t="s">
        <v>628</v>
      </c>
      <c r="H32" s="2024"/>
      <c s="1678">
        <v>13</v>
      </c>
      <c s="2025" t="s">
        <v>679</v>
      </c>
      <c s="2021" t="s">
        <v>600</v>
      </c>
      <c s="730"/>
      <c s="560"/>
      <c s="546"/>
      <c s="1528" t="s">
        <v>639</v>
      </c>
      <c s="546"/>
      <c r="AK32" s="1634">
        <v>46</v>
      </c>
    </row>
    <row r="33" spans="1:37" s="1369" customFormat="1" ht="48.3" customHeight="1">
      <c r="A33" s="2057"/>
      <c s="2056" t="s">
        <v>680</v>
      </c>
      <c s="2056" t="s">
        <v>681</v>
      </c>
      <c s="2055" t="s">
        <v>617</v>
      </c>
      <c s="2059" t="s">
        <v>628</v>
      </c>
      <c s="2059" t="s">
        <v>628</v>
      </c>
      <c s="1639"/>
      <c s="2024"/>
      <c s="1678">
        <v>14</v>
      </c>
      <c s="2037" t="s">
        <v>682</v>
      </c>
      <c s="2026" t="s">
        <v>683</v>
      </c>
      <c s="730"/>
      <c s="560"/>
      <c s="546"/>
      <c s="1528" t="s">
        <v>639</v>
      </c>
      <c s="546"/>
      <c s="1639"/>
      <c s="1639"/>
      <c r="W33" s="1639"/>
      <c r="Z33" s="547"/>
      <c r="AF33" s="1635"/>
      <c s="1635"/>
      <c s="1635"/>
      <c s="1635"/>
      <c s="1635"/>
      <c s="1369">
        <v>46</v>
      </c>
    </row>
    <row r="34" spans="1:37" ht="108" customHeight="1">
      <c r="A34" s="2057"/>
      <c s="2056" t="s">
        <v>684</v>
      </c>
      <c s="2056" t="s">
        <v>685</v>
      </c>
      <c s="2055" t="s">
        <v>627</v>
      </c>
      <c s="2059" t="s">
        <v>628</v>
      </c>
      <c s="2059" t="s">
        <v>628</v>
      </c>
      <c s="1639" t="s">
        <v>588</v>
      </c>
      <c s="2024"/>
      <c s="2035">
        <v>15</v>
      </c>
      <c s="2036" t="s">
        <v>686</v>
      </c>
      <c s="2021" t="s">
        <v>306</v>
      </c>
      <c s="388"/>
      <c s="1167"/>
      <c s="546"/>
      <c s="1528" t="s">
        <v>631</v>
      </c>
      <c s="546"/>
      <c r="AK34" s="1634">
        <v>103</v>
      </c>
    </row>
    <row r="35" spans="1:37" s="1644" customFormat="1" ht="11.55" customHeight="1">
      <c r="A35" s="990"/>
      <c s="990"/>
      <c s="990"/>
      <c s="990"/>
      <c s="990"/>
      <c s="1639"/>
      <c s="1639"/>
      <c s="354"/>
      <c r="N35" s="1369"/>
      <c r="P35" s="1369"/>
      <c s="1639"/>
      <c s="1639"/>
      <c s="1369"/>
      <c s="1369"/>
      <c s="1369"/>
      <c s="1369"/>
      <c s="1639"/>
      <c s="1369"/>
      <c s="1369"/>
      <c s="547"/>
      <c s="1369"/>
      <c s="1369"/>
      <c s="1369"/>
      <c s="1369"/>
      <c s="1369"/>
      <c s="1635"/>
      <c s="625"/>
      <c s="625"/>
      <c s="625"/>
      <c s="625"/>
      <c s="1644">
        <v>11</v>
      </c>
    </row>
    <row r="36" spans="1:37" s="1644" customFormat="1" ht="11.55" customHeight="1">
      <c r="A36" s="990"/>
      <c s="990"/>
      <c s="990"/>
      <c s="990"/>
      <c s="990"/>
      <c s="1639"/>
      <c s="1639"/>
      <c s="354"/>
      <c r="N36" s="1369"/>
      <c r="P36" s="1369"/>
      <c s="1639"/>
      <c s="1639"/>
      <c s="1369"/>
      <c s="1369"/>
      <c s="1369"/>
      <c s="1369"/>
      <c s="1639"/>
      <c s="1369"/>
      <c s="1369"/>
      <c s="547"/>
      <c s="1369"/>
      <c s="1369"/>
      <c s="1369"/>
      <c s="1369"/>
      <c s="1369"/>
      <c s="1635"/>
      <c s="625"/>
      <c s="625"/>
      <c s="625"/>
      <c s="625"/>
      <c s="1644">
        <v>11</v>
      </c>
    </row>
    <row r="37" spans="1:37" s="1644" customFormat="1" ht="11.55" customHeight="1">
      <c r="A37" s="990"/>
      <c s="990"/>
      <c s="990"/>
      <c s="990"/>
      <c s="990"/>
      <c s="1639"/>
      <c s="1639"/>
      <c s="354"/>
      <c r="L37" s="625"/>
      <c s="625"/>
      <c s="1369"/>
      <c r="P37" s="1369"/>
      <c s="1639"/>
      <c s="1639"/>
      <c s="1369"/>
      <c s="1369"/>
      <c s="1369"/>
      <c s="1369"/>
      <c s="1639"/>
      <c s="1369"/>
      <c s="1369"/>
      <c s="547"/>
      <c s="1369"/>
      <c s="1369"/>
      <c s="1369"/>
      <c s="1369"/>
      <c s="1369"/>
      <c s="1635"/>
      <c s="625"/>
      <c s="625"/>
      <c s="625"/>
      <c s="625"/>
      <c s="1644">
        <v>11</v>
      </c>
    </row>
    <row r="38" spans="1:37" s="1644" customFormat="1" ht="11.55" customHeight="1">
      <c r="A38" s="990"/>
      <c s="990"/>
      <c s="990"/>
      <c s="990"/>
      <c s="990"/>
      <c s="1639"/>
      <c s="1639"/>
      <c s="354"/>
      <c r="N38" s="1369"/>
      <c r="P38" s="1369"/>
      <c s="1639"/>
      <c s="1639"/>
      <c s="1369"/>
      <c s="1369"/>
      <c s="1369"/>
      <c s="1369"/>
      <c s="1639"/>
      <c s="1369"/>
      <c s="1369"/>
      <c s="547"/>
      <c s="1369"/>
      <c s="1369"/>
      <c s="1369"/>
      <c s="1369"/>
      <c s="1369"/>
      <c s="1635"/>
      <c s="625"/>
      <c s="625"/>
      <c s="625"/>
      <c s="625"/>
      <c s="1644">
        <v>11</v>
      </c>
    </row>
    <row r="39" spans="1:37" s="1644" customFormat="1" ht="11.55" customHeight="1">
      <c r="A39" s="990"/>
      <c s="990"/>
      <c s="990"/>
      <c s="990"/>
      <c s="990"/>
      <c s="1639"/>
      <c s="1639"/>
      <c s="354"/>
      <c r="N39" s="1369"/>
      <c r="P39" s="1369"/>
      <c s="1639"/>
      <c s="1639"/>
      <c s="1369"/>
      <c s="1369"/>
      <c s="1369"/>
      <c s="1369"/>
      <c s="1639"/>
      <c s="1369"/>
      <c s="1369"/>
      <c s="547"/>
      <c s="1369"/>
      <c s="1369"/>
      <c s="1369"/>
      <c s="1369"/>
      <c s="1369"/>
      <c s="1635"/>
      <c s="625"/>
      <c s="625"/>
      <c s="625"/>
      <c s="625"/>
      <c s="1644">
        <v>11</v>
      </c>
    </row>
    <row r="40" spans="1:37" s="1644" customFormat="1" ht="11.55" customHeight="1">
      <c r="A40" s="990"/>
      <c s="990"/>
      <c s="990"/>
      <c s="990"/>
      <c s="990"/>
      <c s="1639"/>
      <c s="1639"/>
      <c s="354"/>
      <c r="N40" s="1369"/>
      <c r="P40" s="1369"/>
      <c s="1639"/>
      <c s="1639"/>
      <c s="1369"/>
      <c s="1369"/>
      <c s="1369"/>
      <c s="1369"/>
      <c s="1639"/>
      <c s="1369"/>
      <c s="1369"/>
      <c s="547"/>
      <c s="1369"/>
      <c s="1369"/>
      <c s="1369"/>
      <c s="1369"/>
      <c s="1369"/>
      <c s="1635"/>
      <c s="625"/>
      <c s="625"/>
      <c s="625"/>
      <c s="625"/>
      <c s="1644">
        <v>11</v>
      </c>
    </row>
    <row r="41" spans="1:37" s="1644" customFormat="1" ht="11.55" customHeight="1">
      <c r="A41" s="990"/>
      <c s="990"/>
      <c s="990"/>
      <c s="990"/>
      <c s="990"/>
      <c s="1639"/>
      <c s="1639"/>
      <c s="354"/>
      <c r="N41" s="1369"/>
      <c r="P41" s="1369"/>
      <c s="1639"/>
      <c s="1639"/>
      <c s="1369"/>
      <c s="1369"/>
      <c s="1369"/>
      <c s="1369"/>
      <c s="1639"/>
      <c s="1369"/>
      <c s="1369"/>
      <c s="547"/>
      <c s="1369"/>
      <c s="1369"/>
      <c s="1369"/>
      <c s="1369"/>
      <c s="1369"/>
      <c s="1635"/>
      <c s="625"/>
      <c s="625"/>
      <c s="625"/>
      <c s="625"/>
      <c s="1644">
        <v>11</v>
      </c>
    </row>
    <row r="42" spans="1:37" s="1644" customFormat="1" ht="11.55" customHeight="1">
      <c r="A42" s="990"/>
      <c s="990"/>
      <c s="990"/>
      <c s="990"/>
      <c s="990"/>
      <c s="1639"/>
      <c s="1639"/>
      <c s="354"/>
      <c r="N42" s="1369"/>
      <c r="P42" s="1369"/>
      <c s="1639"/>
      <c s="1639"/>
      <c s="1369"/>
      <c s="1369"/>
      <c s="1369"/>
      <c s="1369"/>
      <c s="1639"/>
      <c s="1369"/>
      <c s="1369"/>
      <c s="547"/>
      <c s="1369"/>
      <c s="1369"/>
      <c s="1369"/>
      <c s="1369"/>
      <c s="1369"/>
      <c s="1635"/>
      <c s="625"/>
      <c s="625"/>
      <c s="625"/>
      <c s="625"/>
      <c s="1644">
        <v>11</v>
      </c>
    </row>
    <row r="43" spans="1:37" s="1644" customFormat="1" ht="11.55" customHeight="1">
      <c r="A43" s="990"/>
      <c s="990"/>
      <c s="990"/>
      <c s="990"/>
      <c s="990"/>
      <c s="1639"/>
      <c s="1639"/>
      <c s="354"/>
      <c r="N43" s="1369"/>
      <c r="P43" s="1369"/>
      <c s="1639"/>
      <c s="1639"/>
      <c s="1369"/>
      <c s="1369"/>
      <c s="1369"/>
      <c s="1369"/>
      <c s="1639"/>
      <c s="1369"/>
      <c s="1369"/>
      <c s="547"/>
      <c s="1369"/>
      <c s="1369"/>
      <c s="1369"/>
      <c s="1369"/>
      <c s="1369"/>
      <c s="1635"/>
      <c s="625"/>
      <c s="625"/>
      <c s="625"/>
      <c s="625"/>
      <c s="1644">
        <v>11</v>
      </c>
    </row>
    <row r="44" spans="1:37" s="1644" customFormat="1" ht="11.55" customHeight="1">
      <c r="A44" s="990"/>
      <c s="990"/>
      <c s="990"/>
      <c s="990"/>
      <c s="990"/>
      <c s="1639"/>
      <c s="1639"/>
      <c s="354"/>
      <c r="N44" s="1369"/>
      <c r="P44" s="1369"/>
      <c s="1639"/>
      <c s="1639"/>
      <c s="1369"/>
      <c s="1369"/>
      <c s="1369"/>
      <c s="1369"/>
      <c s="1639"/>
      <c s="1369"/>
      <c s="1369"/>
      <c s="547"/>
      <c s="1369"/>
      <c s="1369"/>
      <c s="1369"/>
      <c s="1369"/>
      <c s="1369"/>
      <c s="1635"/>
      <c s="625"/>
      <c s="625"/>
      <c s="625"/>
      <c s="625"/>
      <c s="1644">
        <v>11</v>
      </c>
    </row>
    <row r="45" spans="1:37" s="1644" customFormat="1" ht="11.55" customHeight="1">
      <c r="A45" s="990"/>
      <c s="990"/>
      <c s="990"/>
      <c s="990"/>
      <c s="990"/>
      <c s="1639"/>
      <c s="1639"/>
      <c s="354"/>
      <c r="N45" s="1369"/>
      <c r="P45" s="1369"/>
      <c s="1639"/>
      <c s="1639"/>
      <c s="1369"/>
      <c s="1369"/>
      <c s="1369"/>
      <c s="1369"/>
      <c s="1639"/>
      <c s="1369"/>
      <c s="1369"/>
      <c s="547"/>
      <c s="1369"/>
      <c s="1369"/>
      <c s="1369"/>
      <c s="1369"/>
      <c s="1369"/>
      <c s="1635"/>
      <c s="625"/>
      <c s="625"/>
      <c s="625"/>
      <c s="625"/>
      <c s="1644">
        <v>11</v>
      </c>
    </row>
    <row r="46" spans="1:37" s="1644" customFormat="1" ht="11.55" customHeight="1">
      <c r="A46" s="990"/>
      <c s="990"/>
      <c s="990"/>
      <c s="990"/>
      <c s="990"/>
      <c s="1639"/>
      <c s="1639"/>
      <c s="354"/>
      <c r="N46" s="1369"/>
      <c r="P46" s="1369"/>
      <c s="1639"/>
      <c s="1639"/>
      <c s="1369"/>
      <c s="1369"/>
      <c s="1369"/>
      <c s="1369"/>
      <c s="1639"/>
      <c s="1369"/>
      <c s="1369"/>
      <c s="547"/>
      <c s="1369"/>
      <c s="1369"/>
      <c s="1369"/>
      <c s="1369"/>
      <c s="1369"/>
      <c s="1635"/>
      <c s="625"/>
      <c s="625"/>
      <c s="625"/>
      <c s="625"/>
      <c s="1644">
        <v>11</v>
      </c>
    </row>
    <row r="47" spans="1:37" s="1644" customFormat="1" ht="11.55" customHeight="1">
      <c r="A47" s="990"/>
      <c s="990"/>
      <c s="990"/>
      <c s="990"/>
      <c s="990"/>
      <c s="1639"/>
      <c s="1639"/>
      <c s="354"/>
      <c r="N47" s="1369"/>
      <c r="P47" s="1369"/>
      <c s="1639"/>
      <c s="1639"/>
      <c s="1369"/>
      <c s="1369"/>
      <c s="1369"/>
      <c s="1369"/>
      <c s="1639"/>
      <c s="1369"/>
      <c s="1369"/>
      <c s="547"/>
      <c s="1369"/>
      <c s="1369"/>
      <c s="1369"/>
      <c s="1369"/>
      <c s="1369"/>
      <c s="1635"/>
      <c s="625"/>
      <c s="625"/>
      <c s="625"/>
      <c s="625"/>
      <c s="1644">
        <v>11</v>
      </c>
    </row>
    <row r="48" spans="1:37" s="1644" customFormat="1" ht="11.55" customHeight="1">
      <c r="A48" s="990"/>
      <c s="990"/>
      <c s="990"/>
      <c s="990"/>
      <c s="990"/>
      <c s="1639"/>
      <c s="1639"/>
      <c s="354"/>
      <c r="N48" s="1369"/>
      <c r="P48" s="1369"/>
      <c s="1639"/>
      <c s="1639"/>
      <c s="1369"/>
      <c s="1369"/>
      <c s="1369"/>
      <c s="1369"/>
      <c s="1639"/>
      <c s="1369"/>
      <c s="1369"/>
      <c s="547"/>
      <c s="1369"/>
      <c s="1369"/>
      <c s="1369"/>
      <c s="1369"/>
      <c s="1369"/>
      <c s="1635"/>
      <c s="625"/>
      <c s="625"/>
      <c s="625"/>
      <c s="625"/>
      <c s="1644">
        <v>11</v>
      </c>
    </row>
    <row r="49" spans="1:37" s="1644" customFormat="1" ht="11.55" customHeight="1">
      <c r="A49" s="990"/>
      <c s="990"/>
      <c s="990"/>
      <c s="990"/>
      <c s="990"/>
      <c s="1639"/>
      <c s="1639"/>
      <c s="354"/>
      <c r="N49" s="1369"/>
      <c r="P49" s="1369"/>
      <c s="1639"/>
      <c s="1639"/>
      <c s="1369"/>
      <c s="1369"/>
      <c s="1369"/>
      <c s="1369"/>
      <c s="1639"/>
      <c s="1369"/>
      <c s="1369"/>
      <c s="547"/>
      <c s="1369"/>
      <c s="1369"/>
      <c s="1369"/>
      <c s="1369"/>
      <c s="1369"/>
      <c s="1635"/>
      <c s="625"/>
      <c s="625"/>
      <c s="625"/>
      <c s="625"/>
      <c s="1644">
        <v>11</v>
      </c>
    </row>
    <row r="50" spans="1:37" s="1644" customFormat="1" ht="11.55" customHeight="1">
      <c r="A50" s="990"/>
      <c s="990"/>
      <c s="990"/>
      <c s="990"/>
      <c s="990"/>
      <c s="1639"/>
      <c s="1639"/>
      <c s="354"/>
      <c r="N50" s="1369"/>
      <c r="P50" s="1369"/>
      <c s="1639"/>
      <c s="1639"/>
      <c s="1369"/>
      <c s="1369"/>
      <c s="1369"/>
      <c s="1369"/>
      <c s="1639"/>
      <c s="1369"/>
      <c s="1369"/>
      <c s="547"/>
      <c s="1369"/>
      <c s="1369"/>
      <c s="1369"/>
      <c s="1369"/>
      <c s="1369"/>
      <c s="1635"/>
      <c s="625"/>
      <c s="625"/>
      <c s="625"/>
      <c s="625"/>
      <c s="1644">
        <v>11</v>
      </c>
    </row>
    <row r="51" spans="1:37" s="1644" customFormat="1" ht="11.55" customHeight="1">
      <c r="A51" s="990"/>
      <c s="990"/>
      <c s="990"/>
      <c s="990"/>
      <c s="990"/>
      <c s="1639"/>
      <c s="1639"/>
      <c s="354"/>
      <c r="N51" s="1369"/>
      <c r="P51" s="1369"/>
      <c s="1639"/>
      <c s="1639"/>
      <c s="1369"/>
      <c s="1369"/>
      <c s="1369"/>
      <c s="1369"/>
      <c s="1639"/>
      <c s="1369"/>
      <c s="1369"/>
      <c s="547"/>
      <c s="1369"/>
      <c s="1369"/>
      <c s="1369"/>
      <c s="1369"/>
      <c s="1369"/>
      <c s="1635"/>
      <c s="625"/>
      <c s="625"/>
      <c s="625"/>
      <c s="625"/>
      <c s="1644">
        <v>11</v>
      </c>
    </row>
    <row r="52" spans="1:37" s="1644" customFormat="1" ht="11.55" customHeight="1">
      <c r="A52" s="990"/>
      <c s="990"/>
      <c s="990"/>
      <c s="990"/>
      <c s="990"/>
      <c s="1639"/>
      <c s="1639"/>
      <c s="354"/>
      <c r="N52" s="1369"/>
      <c r="P52" s="1369"/>
      <c s="1639"/>
      <c s="1639"/>
      <c s="1369"/>
      <c s="1369"/>
      <c s="1369"/>
      <c s="1369"/>
      <c s="1639"/>
      <c s="1369"/>
      <c s="1369"/>
      <c s="547"/>
      <c s="1369"/>
      <c s="1369"/>
      <c s="1369"/>
      <c s="1369"/>
      <c s="1369"/>
      <c s="1635"/>
      <c s="625"/>
      <c s="625"/>
      <c s="625"/>
      <c s="625"/>
      <c s="1644">
        <v>11</v>
      </c>
    </row>
    <row r="53" spans="1:37" s="1644" customFormat="1" ht="11.55" customHeight="1">
      <c r="A53" s="990"/>
      <c s="990"/>
      <c s="990"/>
      <c s="990"/>
      <c s="990"/>
      <c s="1639"/>
      <c s="1639"/>
      <c s="354"/>
      <c r="N53" s="1369"/>
      <c r="P53" s="1369"/>
      <c s="1639"/>
      <c s="1639"/>
      <c s="1369"/>
      <c s="1369"/>
      <c s="1369"/>
      <c s="1369"/>
      <c s="1639"/>
      <c s="1369"/>
      <c s="1369"/>
      <c s="547"/>
      <c s="1369"/>
      <c s="1369"/>
      <c s="1369"/>
      <c s="1369"/>
      <c s="1369"/>
      <c s="1635"/>
      <c s="625"/>
      <c s="625"/>
      <c s="625"/>
      <c s="625"/>
      <c s="1644">
        <v>11</v>
      </c>
    </row>
    <row r="54" spans="1:37" s="1644" customFormat="1" ht="11.55" customHeight="1">
      <c r="A54" s="990"/>
      <c s="990"/>
      <c s="990"/>
      <c s="990"/>
      <c s="990"/>
      <c s="1639"/>
      <c s="1639"/>
      <c s="354"/>
      <c r="N54" s="1369"/>
      <c r="P54" s="1369"/>
      <c s="1639"/>
      <c s="1639"/>
      <c s="1369"/>
      <c s="1369"/>
      <c s="1369"/>
      <c s="1369"/>
      <c s="1639"/>
      <c s="1369"/>
      <c s="1369"/>
      <c s="547"/>
      <c s="1369"/>
      <c s="1369"/>
      <c s="1369"/>
      <c s="1369"/>
      <c s="1369"/>
      <c s="1635"/>
      <c s="625"/>
      <c s="625"/>
      <c s="625"/>
      <c s="625"/>
      <c s="1644">
        <v>11</v>
      </c>
    </row>
    <row r="55" spans="1:37" s="1644" customFormat="1" ht="11.55" customHeight="1">
      <c r="A55" s="990"/>
      <c s="990"/>
      <c s="990"/>
      <c s="990"/>
      <c s="990"/>
      <c s="1639"/>
      <c s="1639"/>
      <c s="354"/>
      <c r="N55" s="1369"/>
      <c r="P55" s="1369"/>
      <c s="1639"/>
      <c s="1639"/>
      <c s="1369"/>
      <c s="1369"/>
      <c s="1369"/>
      <c s="1369"/>
      <c s="1639"/>
      <c s="1369"/>
      <c s="1369"/>
      <c s="547"/>
      <c s="1369"/>
      <c s="1369"/>
      <c s="1369"/>
      <c s="1369"/>
      <c s="1369"/>
      <c s="1635"/>
      <c s="625"/>
      <c s="625"/>
      <c s="625"/>
      <c s="625"/>
      <c s="1644">
        <v>11</v>
      </c>
    </row>
    <row r="56" spans="1:37" s="1644" customFormat="1" ht="11.55" customHeight="1">
      <c r="A56" s="990"/>
      <c s="990"/>
      <c s="990"/>
      <c s="990"/>
      <c s="990"/>
      <c s="1639"/>
      <c s="1639"/>
      <c s="354"/>
      <c r="N56" s="1369"/>
      <c r="P56" s="1369"/>
      <c s="1639"/>
      <c s="1639"/>
      <c s="1369"/>
      <c s="1369"/>
      <c s="1369"/>
      <c s="1369"/>
      <c s="1639"/>
      <c s="1369"/>
      <c s="1369"/>
      <c s="547"/>
      <c s="1369"/>
      <c s="1369"/>
      <c s="1369"/>
      <c s="1369"/>
      <c s="1369"/>
      <c s="1635"/>
      <c s="625"/>
      <c s="625"/>
      <c s="625"/>
      <c s="625"/>
      <c s="1644">
        <v>11</v>
      </c>
    </row>
    <row r="57" spans="1:37" s="1644" customFormat="1" ht="11.55" customHeight="1">
      <c r="A57" s="990"/>
      <c s="990"/>
      <c s="990"/>
      <c s="990"/>
      <c s="990"/>
      <c s="1639"/>
      <c s="1639"/>
      <c s="354"/>
      <c r="N57" s="1369"/>
      <c r="P57" s="1369"/>
      <c s="1639"/>
      <c s="1639"/>
      <c s="1369"/>
      <c s="1369"/>
      <c s="1369"/>
      <c s="1369"/>
      <c s="1639"/>
      <c s="1369"/>
      <c s="1369"/>
      <c s="547"/>
      <c s="1369"/>
      <c s="1369"/>
      <c s="1369"/>
      <c s="1369"/>
      <c s="1369"/>
      <c s="1635"/>
      <c s="625"/>
      <c s="625"/>
      <c s="625"/>
      <c s="625"/>
      <c s="1644">
        <v>11</v>
      </c>
    </row>
    <row r="58" spans="1:37" s="1644" customFormat="1" ht="11.55" customHeight="1">
      <c r="A58" s="990"/>
      <c s="990"/>
      <c s="990"/>
      <c s="990"/>
      <c s="990"/>
      <c s="1639"/>
      <c s="1639"/>
      <c s="354"/>
      <c r="N58" s="1369"/>
      <c r="P58" s="1369"/>
      <c s="1639"/>
      <c s="1639"/>
      <c s="1369"/>
      <c s="1369"/>
      <c s="1369"/>
      <c s="1369"/>
      <c s="1639"/>
      <c s="1369"/>
      <c s="1369"/>
      <c s="547"/>
      <c s="1369"/>
      <c s="1369"/>
      <c s="1369"/>
      <c s="1369"/>
      <c s="1369"/>
      <c s="1635"/>
      <c s="625"/>
      <c s="625"/>
      <c s="625"/>
      <c s="625"/>
      <c s="1644">
        <v>11</v>
      </c>
    </row>
    <row r="59" spans="1:37" s="1644" customFormat="1" ht="11.55" customHeight="1">
      <c r="A59" s="990"/>
      <c s="990"/>
      <c s="990"/>
      <c s="990"/>
      <c s="990"/>
      <c s="1639"/>
      <c s="1639"/>
      <c s="354"/>
      <c r="N59" s="1369"/>
      <c r="P59" s="1369"/>
      <c s="1639"/>
      <c s="1639"/>
      <c s="1369"/>
      <c s="1369"/>
      <c s="1369"/>
      <c s="1369"/>
      <c s="1639"/>
      <c s="1369"/>
      <c s="1369"/>
      <c s="547"/>
      <c s="1369"/>
      <c s="1369"/>
      <c s="1369"/>
      <c s="1369"/>
      <c s="1369"/>
      <c s="1635"/>
      <c s="625"/>
      <c s="625"/>
      <c s="625"/>
      <c s="625"/>
      <c s="1644">
        <v>11</v>
      </c>
    </row>
    <row r="60" spans="1:37" s="1644" customFormat="1" ht="11.55" customHeight="1">
      <c r="A60" s="990"/>
      <c s="990"/>
      <c s="990"/>
      <c s="990"/>
      <c s="990"/>
      <c s="1639"/>
      <c s="1639"/>
      <c s="354"/>
      <c r="N60" s="1369"/>
      <c r="P60" s="1369"/>
      <c s="1639"/>
      <c s="1639"/>
      <c s="1369"/>
      <c s="1369"/>
      <c s="1369"/>
      <c s="1369"/>
      <c s="1639"/>
      <c s="1369"/>
      <c s="1369"/>
      <c s="547"/>
      <c s="1369"/>
      <c s="1369"/>
      <c s="1369"/>
      <c s="1369"/>
      <c s="1369"/>
      <c s="1635"/>
      <c s="625"/>
      <c s="625"/>
      <c s="625"/>
      <c s="625"/>
      <c s="1644">
        <v>11</v>
      </c>
    </row>
    <row r="61" spans="1:37" s="1644" customFormat="1" ht="11.55" customHeight="1">
      <c r="A61" s="990"/>
      <c s="990"/>
      <c s="990"/>
      <c s="990"/>
      <c s="990"/>
      <c s="1639"/>
      <c s="1639"/>
      <c s="354"/>
      <c r="N61" s="1369"/>
      <c r="P61" s="1369"/>
      <c s="1639"/>
      <c s="1639"/>
      <c s="1369"/>
      <c s="1369"/>
      <c s="1369"/>
      <c s="1369"/>
      <c s="1639"/>
      <c s="1369"/>
      <c s="1369"/>
      <c s="547"/>
      <c s="1369"/>
      <c s="1369"/>
      <c s="1369"/>
      <c s="1369"/>
      <c s="1369"/>
      <c s="1635"/>
      <c s="625"/>
      <c s="625"/>
      <c s="625"/>
      <c s="625"/>
      <c s="1644">
        <v>11</v>
      </c>
    </row>
    <row r="62" spans="1:37" s="1644" customFormat="1" ht="11.55" customHeight="1">
      <c r="A62" s="990"/>
      <c s="990"/>
      <c s="990"/>
      <c s="990"/>
      <c s="990"/>
      <c s="1639"/>
      <c s="1639"/>
      <c s="354"/>
      <c r="N62" s="1369"/>
      <c r="P62" s="1369"/>
      <c s="1639"/>
      <c s="1639"/>
      <c s="1369"/>
      <c s="1369"/>
      <c s="1369"/>
      <c s="1369"/>
      <c s="1639"/>
      <c s="1369"/>
      <c s="1369"/>
      <c s="547"/>
      <c s="1369"/>
      <c s="1369"/>
      <c s="1369"/>
      <c s="1369"/>
      <c s="1369"/>
      <c s="1635"/>
      <c s="625"/>
      <c s="625"/>
      <c s="625"/>
      <c s="625"/>
      <c s="1644">
        <v>11</v>
      </c>
    </row>
    <row r="63" spans="1:37" s="1644" customFormat="1" ht="11.55" customHeight="1">
      <c r="A63" s="990"/>
      <c s="990"/>
      <c s="990"/>
      <c s="990"/>
      <c s="990"/>
      <c s="1639"/>
      <c s="1639"/>
      <c s="354"/>
      <c r="N63" s="1369"/>
      <c r="P63" s="1369"/>
      <c s="1639"/>
      <c s="1639"/>
      <c s="1369"/>
      <c s="1369"/>
      <c s="1369"/>
      <c s="1369"/>
      <c s="1639"/>
      <c s="1369"/>
      <c s="1369"/>
      <c s="547"/>
      <c s="1369"/>
      <c s="1369"/>
      <c s="1369"/>
      <c s="1369"/>
      <c s="1369"/>
      <c s="1635"/>
      <c s="625"/>
      <c s="625"/>
      <c s="625"/>
      <c s="625"/>
      <c s="1644">
        <v>11</v>
      </c>
    </row>
    <row r="64" spans="1:37" s="1644" customFormat="1" ht="11.55" customHeight="1">
      <c r="A64" s="990"/>
      <c s="990"/>
      <c s="990"/>
      <c s="990"/>
      <c s="990"/>
      <c s="1639"/>
      <c s="1639"/>
      <c s="354"/>
      <c r="N64" s="1369"/>
      <c r="P64" s="1369"/>
      <c s="1639"/>
      <c s="1639"/>
      <c s="1369"/>
      <c s="1369"/>
      <c s="1369"/>
      <c s="1369"/>
      <c s="1639"/>
      <c s="1369"/>
      <c s="1369"/>
      <c s="547"/>
      <c s="1369"/>
      <c s="1369"/>
      <c s="1369"/>
      <c s="1369"/>
      <c s="1369"/>
      <c s="1635"/>
      <c s="625"/>
      <c s="625"/>
      <c s="625"/>
      <c s="625"/>
      <c s="1644">
        <v>11</v>
      </c>
    </row>
    <row r="65" spans="1:37" s="1644" customFormat="1" ht="11.55" customHeight="1">
      <c r="A65" s="990"/>
      <c s="990"/>
      <c s="990"/>
      <c s="990"/>
      <c s="990"/>
      <c s="1639"/>
      <c s="1639"/>
      <c s="354"/>
      <c r="N65" s="1369"/>
      <c r="P65" s="1369"/>
      <c s="1639"/>
      <c s="1639"/>
      <c s="1369"/>
      <c s="1369"/>
      <c s="1369"/>
      <c s="1369"/>
      <c s="1639"/>
      <c s="1369"/>
      <c s="1369"/>
      <c s="547"/>
      <c s="1369"/>
      <c s="1369"/>
      <c s="1369"/>
      <c s="1369"/>
      <c s="1369"/>
      <c s="1635"/>
      <c s="625"/>
      <c s="625"/>
      <c s="625"/>
      <c s="625"/>
      <c s="1644">
        <v>11</v>
      </c>
    </row>
    <row r="66" spans="1:37" s="1644" customFormat="1" ht="11.55" customHeight="1">
      <c r="A66" s="990"/>
      <c s="990"/>
      <c s="990"/>
      <c s="990"/>
      <c s="990"/>
      <c s="1639"/>
      <c s="1639"/>
      <c s="354"/>
      <c r="N66" s="1369"/>
      <c r="P66" s="1369"/>
      <c s="1639"/>
      <c s="1639"/>
      <c s="1369"/>
      <c s="1369"/>
      <c s="1369"/>
      <c s="1369"/>
      <c s="1639"/>
      <c s="1369"/>
      <c s="1369"/>
      <c s="547"/>
      <c s="1369"/>
      <c s="1369"/>
      <c s="1369"/>
      <c s="1369"/>
      <c s="1369"/>
      <c s="1635"/>
      <c s="625"/>
      <c s="625"/>
      <c s="625"/>
      <c s="625"/>
      <c s="1644">
        <v>11</v>
      </c>
    </row>
    <row r="67" spans="1:37" s="1644" customFormat="1" ht="11.55" customHeight="1">
      <c r="A67" s="990"/>
      <c s="990"/>
      <c s="990"/>
      <c s="990"/>
      <c s="990"/>
      <c s="1639"/>
      <c s="1639"/>
      <c s="354"/>
      <c r="N67" s="1369"/>
      <c r="P67" s="1369"/>
      <c s="1639"/>
      <c s="1639"/>
      <c s="1369"/>
      <c s="1369"/>
      <c s="1369"/>
      <c s="1369"/>
      <c s="1639"/>
      <c s="1369"/>
      <c s="1369"/>
      <c s="547"/>
      <c s="1369"/>
      <c s="1369"/>
      <c s="1369"/>
      <c s="1369"/>
      <c s="1369"/>
      <c s="1635"/>
      <c s="625"/>
      <c s="625"/>
      <c s="625"/>
      <c s="625"/>
      <c s="1644">
        <v>11</v>
      </c>
    </row>
    <row r="68" spans="1:37" s="1644" customFormat="1" ht="11.55" customHeight="1">
      <c r="A68" s="990"/>
      <c s="990"/>
      <c s="990"/>
      <c s="990"/>
      <c s="990"/>
      <c s="1639"/>
      <c s="1639"/>
      <c s="354"/>
      <c r="N68" s="1369"/>
      <c r="P68" s="1369"/>
      <c s="1639"/>
      <c s="1639"/>
      <c s="1369"/>
      <c s="1369"/>
      <c s="1369"/>
      <c s="1369"/>
      <c s="1639"/>
      <c s="1369"/>
      <c s="1369"/>
      <c s="547"/>
      <c s="1369"/>
      <c s="1369"/>
      <c s="1369"/>
      <c s="1369"/>
      <c s="1369"/>
      <c s="1635"/>
      <c s="625"/>
      <c s="625"/>
      <c s="625"/>
      <c s="625"/>
      <c s="1644">
        <v>11</v>
      </c>
    </row>
    <row r="69" spans="1:37" s="1644" customFormat="1" ht="11.55" customHeight="1">
      <c r="A69" s="990"/>
      <c s="990"/>
      <c s="990"/>
      <c s="990"/>
      <c s="990"/>
      <c s="1639"/>
      <c s="1639"/>
      <c s="354"/>
      <c r="N69" s="1369"/>
      <c r="P69" s="1369"/>
      <c s="1639"/>
      <c s="1639"/>
      <c s="1369"/>
      <c s="1369"/>
      <c s="1369"/>
      <c s="1369"/>
      <c s="1639"/>
      <c s="1369"/>
      <c s="1369"/>
      <c s="547"/>
      <c s="1369"/>
      <c s="1369"/>
      <c s="1369"/>
      <c s="1369"/>
      <c s="1369"/>
      <c s="1635"/>
      <c s="625"/>
      <c s="625"/>
      <c s="625"/>
      <c s="625"/>
      <c s="1644">
        <v>11</v>
      </c>
    </row>
    <row r="70" spans="1:37" s="1644" customFormat="1" ht="11.55" customHeight="1">
      <c r="A70" s="990"/>
      <c s="990"/>
      <c s="990"/>
      <c s="990"/>
      <c s="990"/>
      <c s="1639"/>
      <c s="1639"/>
      <c s="354"/>
      <c r="N70" s="1369"/>
      <c r="P70" s="1369"/>
      <c s="1639"/>
      <c s="1639"/>
      <c s="1369"/>
      <c s="1369"/>
      <c s="1369"/>
      <c s="1369"/>
      <c s="1639"/>
      <c s="1369"/>
      <c s="1369"/>
      <c s="547"/>
      <c s="1369"/>
      <c s="1369"/>
      <c s="1369"/>
      <c s="1369"/>
      <c s="1369"/>
      <c s="1635"/>
      <c s="625"/>
      <c s="625"/>
      <c s="625"/>
      <c s="625"/>
      <c s="1644">
        <v>11</v>
      </c>
    </row>
    <row r="71" spans="1:37" s="1644" customFormat="1" ht="11.55" customHeight="1">
      <c r="A71" s="990"/>
      <c s="990"/>
      <c s="990"/>
      <c s="990"/>
      <c s="990"/>
      <c s="1639"/>
      <c s="1639"/>
      <c s="354"/>
      <c r="N71" s="1369"/>
      <c r="P71" s="1369"/>
      <c s="1639"/>
      <c s="1639"/>
      <c s="1369"/>
      <c s="1369"/>
      <c s="1369"/>
      <c s="1369"/>
      <c s="1639"/>
      <c s="1369"/>
      <c s="1369"/>
      <c s="547"/>
      <c s="1369"/>
      <c s="1369"/>
      <c s="1369"/>
      <c s="1369"/>
      <c s="1369"/>
      <c s="1635"/>
      <c s="625"/>
      <c s="625"/>
      <c s="625"/>
      <c s="625"/>
      <c s="1644">
        <v>11</v>
      </c>
    </row>
    <row r="72" spans="1:37" s="1644" customFormat="1" ht="11.55" customHeight="1">
      <c r="A72" s="990"/>
      <c s="990"/>
      <c s="990"/>
      <c s="990"/>
      <c s="990"/>
      <c s="1639"/>
      <c s="1639"/>
      <c s="354"/>
      <c r="N72" s="1369"/>
      <c r="P72" s="1369"/>
      <c s="1639"/>
      <c s="1639"/>
      <c s="1369"/>
      <c s="1369"/>
      <c s="1369"/>
      <c s="1369"/>
      <c s="1639"/>
      <c s="1369"/>
      <c s="1369"/>
      <c s="547"/>
      <c s="1369"/>
      <c s="1369"/>
      <c s="1369"/>
      <c s="1369"/>
      <c s="1369"/>
      <c s="1635"/>
      <c s="625"/>
      <c s="625"/>
      <c s="625"/>
      <c s="625"/>
      <c s="1644">
        <v>11</v>
      </c>
    </row>
    <row r="73" spans="1:37" s="1644" customFormat="1" ht="11.55" customHeight="1">
      <c r="A73" s="990"/>
      <c s="990"/>
      <c s="990"/>
      <c s="990"/>
      <c s="990"/>
      <c s="1639"/>
      <c s="1639"/>
      <c s="354"/>
      <c r="N73" s="1369"/>
      <c r="P73" s="1369"/>
      <c s="1639"/>
      <c s="1639"/>
      <c s="1369"/>
      <c s="1369"/>
      <c s="1369"/>
      <c s="1369"/>
      <c s="1639"/>
      <c s="1369"/>
      <c s="1369"/>
      <c s="547"/>
      <c s="1369"/>
      <c s="1369"/>
      <c s="1369"/>
      <c s="1369"/>
      <c s="1369"/>
      <c s="1635"/>
      <c s="625"/>
      <c s="625"/>
      <c s="625"/>
      <c s="625"/>
      <c s="1644">
        <v>11</v>
      </c>
    </row>
    <row r="74" spans="1:37" s="1644" customFormat="1" ht="11.55" customHeight="1">
      <c r="A74" s="990"/>
      <c s="990"/>
      <c s="990"/>
      <c s="990"/>
      <c s="990"/>
      <c s="1639"/>
      <c s="1639"/>
      <c s="354"/>
      <c r="N74" s="1369"/>
      <c r="P74" s="1369"/>
      <c s="1639"/>
      <c s="1639"/>
      <c s="1369"/>
      <c s="1369"/>
      <c s="1369"/>
      <c s="1369"/>
      <c s="1639"/>
      <c s="1369"/>
      <c s="1369"/>
      <c s="547"/>
      <c s="1369"/>
      <c s="1369"/>
      <c s="1369"/>
      <c s="1369"/>
      <c s="1369"/>
      <c s="1635"/>
      <c s="625"/>
      <c s="625"/>
      <c s="625"/>
      <c s="625"/>
      <c s="1644">
        <v>11</v>
      </c>
    </row>
    <row r="75" spans="1:37" s="1644" customFormat="1" ht="11.55" customHeight="1">
      <c r="A75" s="990"/>
      <c s="990"/>
      <c s="990"/>
      <c s="990"/>
      <c s="990"/>
      <c s="1639"/>
      <c s="1639"/>
      <c s="354"/>
      <c r="N75" s="1369"/>
      <c r="P75" s="1369"/>
      <c s="1639"/>
      <c s="1639"/>
      <c s="1369"/>
      <c s="1369"/>
      <c s="1369"/>
      <c s="1369"/>
      <c s="1639"/>
      <c s="1369"/>
      <c s="1369"/>
      <c s="547"/>
      <c s="1369"/>
      <c s="1369"/>
      <c s="1369"/>
      <c s="1369"/>
      <c s="1369"/>
      <c s="1635"/>
      <c s="625"/>
      <c s="625"/>
      <c s="625"/>
      <c s="625"/>
      <c s="1644">
        <v>11</v>
      </c>
    </row>
    <row r="76" spans="1:37" s="1644" customFormat="1" ht="11.55" customHeight="1">
      <c r="A76" s="990"/>
      <c s="990"/>
      <c s="990"/>
      <c s="990"/>
      <c s="990"/>
      <c s="1639"/>
      <c s="1639"/>
      <c s="354"/>
      <c r="N76" s="1369"/>
      <c r="P76" s="1369"/>
      <c s="1639"/>
      <c s="1639"/>
      <c s="1369"/>
      <c s="1369"/>
      <c s="1369"/>
      <c s="1369"/>
      <c s="1639"/>
      <c s="1369"/>
      <c s="1369"/>
      <c s="547"/>
      <c s="1369"/>
      <c s="1369"/>
      <c s="1369"/>
      <c s="1369"/>
      <c s="1369"/>
      <c s="1635"/>
      <c s="625"/>
      <c s="625"/>
      <c s="625"/>
      <c s="625"/>
      <c s="1644">
        <v>11</v>
      </c>
    </row>
    <row r="77" spans="1:37" s="1644" customFormat="1" ht="11.55" customHeight="1">
      <c r="A77" s="990"/>
      <c s="990"/>
      <c s="990"/>
      <c s="990"/>
      <c s="990"/>
      <c s="1639"/>
      <c s="1639"/>
      <c s="354"/>
      <c r="N77" s="1369"/>
      <c r="P77" s="1369"/>
      <c s="1639"/>
      <c s="1639"/>
      <c s="1369"/>
      <c s="1369"/>
      <c s="1369"/>
      <c s="1369"/>
      <c s="1639"/>
      <c s="1369"/>
      <c s="1369"/>
      <c s="547"/>
      <c s="1369"/>
      <c s="1369"/>
      <c s="1369"/>
      <c s="1369"/>
      <c s="1369"/>
      <c s="1635"/>
      <c s="625"/>
      <c s="625"/>
      <c s="625"/>
      <c s="625"/>
      <c s="1644">
        <v>11</v>
      </c>
    </row>
    <row r="78" spans="1:37" s="1644" customFormat="1" ht="11.55" customHeight="1">
      <c r="A78" s="990"/>
      <c s="990"/>
      <c s="990"/>
      <c s="990"/>
      <c s="990"/>
      <c s="1639"/>
      <c s="1639"/>
      <c s="354"/>
      <c r="N78" s="1369"/>
      <c r="P78" s="1369"/>
      <c s="1639"/>
      <c s="1639"/>
      <c s="1369"/>
      <c s="1369"/>
      <c s="1369"/>
      <c s="1369"/>
      <c s="1639"/>
      <c s="1369"/>
      <c s="1369"/>
      <c s="547"/>
      <c s="1369"/>
      <c s="1369"/>
      <c s="1369"/>
      <c s="1369"/>
      <c s="1369"/>
      <c s="1635"/>
      <c s="625"/>
      <c s="625"/>
      <c s="625"/>
      <c s="625"/>
      <c s="1644">
        <v>11</v>
      </c>
    </row>
    <row r="79" spans="1:37" s="1644" customFormat="1" ht="11.55" customHeight="1">
      <c r="A79" s="990"/>
      <c s="990"/>
      <c s="990"/>
      <c s="990"/>
      <c s="990"/>
      <c s="1639"/>
      <c s="1639"/>
      <c s="354"/>
      <c r="N79" s="1369"/>
      <c r="P79" s="1369"/>
      <c s="1639"/>
      <c s="1639"/>
      <c s="1369"/>
      <c s="1369"/>
      <c s="1369"/>
      <c s="1369"/>
      <c s="1639"/>
      <c s="1369"/>
      <c s="1369"/>
      <c s="547"/>
      <c s="1369"/>
      <c s="1369"/>
      <c s="1369"/>
      <c s="1369"/>
      <c s="1369"/>
      <c s="1635"/>
      <c s="625"/>
      <c s="625"/>
      <c s="625"/>
      <c s="625"/>
      <c s="1644">
        <v>11</v>
      </c>
    </row>
    <row r="80" spans="1:37" s="1644" customFormat="1" ht="11.55" customHeight="1">
      <c r="A80" s="990"/>
      <c s="990"/>
      <c s="990"/>
      <c s="990"/>
      <c s="990"/>
      <c s="1639"/>
      <c s="1639"/>
      <c s="354"/>
      <c r="N80" s="1369"/>
      <c r="P80" s="1369"/>
      <c s="1639"/>
      <c s="1639"/>
      <c s="1369"/>
      <c s="1369"/>
      <c s="1369"/>
      <c s="1369"/>
      <c s="1639"/>
      <c s="1369"/>
      <c s="1369"/>
      <c s="547"/>
      <c s="1369"/>
      <c s="1369"/>
      <c s="1369"/>
      <c s="1369"/>
      <c s="1369"/>
      <c s="1635"/>
      <c s="625"/>
      <c s="625"/>
      <c s="625"/>
      <c s="625"/>
      <c s="1644">
        <v>11</v>
      </c>
    </row>
    <row r="81" spans="1:37" s="1644" customFormat="1" ht="11.55" customHeight="1">
      <c r="A81" s="990"/>
      <c s="990"/>
      <c s="990"/>
      <c s="990"/>
      <c s="990"/>
      <c s="1639"/>
      <c s="1639"/>
      <c s="354"/>
      <c r="N81" s="1369"/>
      <c r="P81" s="1369"/>
      <c s="1639"/>
      <c s="1639"/>
      <c s="1369"/>
      <c s="1369"/>
      <c s="1369"/>
      <c s="1369"/>
      <c s="1639"/>
      <c s="1369"/>
      <c s="1369"/>
      <c s="547"/>
      <c s="1369"/>
      <c s="1369"/>
      <c s="1369"/>
      <c s="1369"/>
      <c s="1369"/>
      <c s="1635"/>
      <c s="625"/>
      <c s="625"/>
      <c s="625"/>
      <c s="625"/>
      <c s="1644">
        <v>11</v>
      </c>
    </row>
    <row r="82" spans="1:37" s="1644" customFormat="1" ht="11.55" customHeight="1">
      <c r="A82" s="990"/>
      <c s="990"/>
      <c s="990"/>
      <c s="990"/>
      <c s="990"/>
      <c s="1639"/>
      <c s="1639"/>
      <c s="354"/>
      <c r="N82" s="1369"/>
      <c r="P82" s="1369"/>
      <c s="1639"/>
      <c s="1639"/>
      <c s="1369"/>
      <c s="1369"/>
      <c s="1369"/>
      <c s="1369"/>
      <c s="1639"/>
      <c s="1369"/>
      <c s="1369"/>
      <c s="547"/>
      <c s="1369"/>
      <c s="1369"/>
      <c s="1369"/>
      <c s="1369"/>
      <c s="1369"/>
      <c s="1635"/>
      <c s="625"/>
      <c s="625"/>
      <c s="625"/>
      <c s="625"/>
      <c s="1644">
        <v>11</v>
      </c>
    </row>
    <row r="83" spans="1:37" s="1644" customFormat="1" ht="11.55" customHeight="1">
      <c r="A83" s="990"/>
      <c s="990"/>
      <c s="990"/>
      <c s="990"/>
      <c s="990"/>
      <c s="1639"/>
      <c s="1639"/>
      <c s="354"/>
      <c r="N83" s="1369"/>
      <c r="P83" s="1369"/>
      <c s="1639"/>
      <c s="1639"/>
      <c s="1369"/>
      <c s="1369"/>
      <c s="1369"/>
      <c s="1369"/>
      <c s="1639"/>
      <c s="1369"/>
      <c s="1369"/>
      <c s="547"/>
      <c s="1369"/>
      <c s="1369"/>
      <c s="1369"/>
      <c s="1369"/>
      <c s="1369"/>
      <c s="1635"/>
      <c s="625"/>
      <c s="625"/>
      <c s="625"/>
      <c s="625"/>
      <c s="1644">
        <v>11</v>
      </c>
    </row>
    <row r="84" spans="1:37" s="1644" customFormat="1" ht="11.55" customHeight="1">
      <c r="A84" s="990"/>
      <c s="990"/>
      <c s="990"/>
      <c s="990"/>
      <c s="990"/>
      <c s="1639"/>
      <c s="1639"/>
      <c s="354"/>
      <c r="N84" s="1369"/>
      <c r="P84" s="1369"/>
      <c s="1639"/>
      <c s="1639"/>
      <c s="1369"/>
      <c s="1369"/>
      <c s="1369"/>
      <c s="1369"/>
      <c s="1639"/>
      <c s="1369"/>
      <c s="1369"/>
      <c s="547"/>
      <c s="1369"/>
      <c s="1369"/>
      <c s="1369"/>
      <c s="1369"/>
      <c s="1369"/>
      <c s="1635"/>
      <c s="625"/>
      <c s="625"/>
      <c s="625"/>
      <c s="625"/>
      <c s="1644">
        <v>11</v>
      </c>
    </row>
    <row r="85" spans="1:37" s="1644" customFormat="1" ht="11.55" customHeight="1">
      <c r="A85" s="990"/>
      <c s="990"/>
      <c s="990"/>
      <c s="990"/>
      <c s="990"/>
      <c s="1639"/>
      <c s="1639"/>
      <c s="354"/>
      <c r="N85" s="1369"/>
      <c r="P85" s="1369"/>
      <c s="1639"/>
      <c s="1639"/>
      <c s="1369"/>
      <c s="1369"/>
      <c s="1369"/>
      <c s="1369"/>
      <c s="1639"/>
      <c s="1369"/>
      <c s="1369"/>
      <c s="547"/>
      <c s="1369"/>
      <c s="1369"/>
      <c s="1369"/>
      <c s="1369"/>
      <c s="1369"/>
      <c s="1635"/>
      <c s="625"/>
      <c s="625"/>
      <c s="625"/>
      <c s="625"/>
      <c s="1644">
        <v>11</v>
      </c>
    </row>
    <row r="86" spans="1:37" s="1644" customFormat="1" ht="11.55" customHeight="1">
      <c r="A86" s="990"/>
      <c s="990"/>
      <c s="990"/>
      <c s="990"/>
      <c s="990"/>
      <c s="1639"/>
      <c s="1639"/>
      <c s="354"/>
      <c r="N86" s="1369"/>
      <c r="P86" s="1369"/>
      <c s="1639"/>
      <c s="1639"/>
      <c s="1369"/>
      <c s="1369"/>
      <c s="1369"/>
      <c s="1369"/>
      <c s="1639"/>
      <c s="1369"/>
      <c s="1369"/>
      <c s="547"/>
      <c s="1369"/>
      <c s="1369"/>
      <c s="1369"/>
      <c s="1369"/>
      <c s="1369"/>
      <c s="1635"/>
      <c s="625"/>
      <c s="625"/>
      <c s="625"/>
      <c s="625"/>
      <c s="1644">
        <v>11</v>
      </c>
    </row>
    <row r="87" spans="1:37" s="1644" customFormat="1" ht="11.55" customHeight="1">
      <c r="A87" s="990"/>
      <c s="990"/>
      <c s="990"/>
      <c s="990"/>
      <c s="990"/>
      <c s="1639"/>
      <c s="1639"/>
      <c s="354"/>
      <c r="N87" s="1369"/>
      <c r="P87" s="1369"/>
      <c s="1639"/>
      <c s="1639"/>
      <c s="1369"/>
      <c s="1369"/>
      <c s="1369"/>
      <c s="1369"/>
      <c s="1639"/>
      <c s="1369"/>
      <c s="1369"/>
      <c s="547"/>
      <c s="1369"/>
      <c s="1369"/>
      <c s="1369"/>
      <c s="1369"/>
      <c s="1369"/>
      <c s="1635"/>
      <c s="625"/>
      <c s="625"/>
      <c s="625"/>
      <c s="625"/>
      <c s="1644">
        <v>11</v>
      </c>
    </row>
    <row r="88" spans="1:37" s="1644" customFormat="1" ht="11.55" customHeight="1">
      <c r="A88" s="990"/>
      <c s="990"/>
      <c s="990"/>
      <c s="990"/>
      <c s="990"/>
      <c s="1639"/>
      <c s="1639"/>
      <c s="354"/>
      <c r="N88" s="1369"/>
      <c r="P88" s="1369"/>
      <c s="1639"/>
      <c s="1639"/>
      <c s="1369"/>
      <c s="1369"/>
      <c s="1369"/>
      <c s="1369"/>
      <c s="1639"/>
      <c s="1369"/>
      <c s="1369"/>
      <c s="547"/>
      <c s="1369"/>
      <c s="1369"/>
      <c s="1369"/>
      <c s="1369"/>
      <c s="1369"/>
      <c s="1635"/>
      <c s="625"/>
      <c s="625"/>
      <c s="625"/>
      <c s="625"/>
      <c s="1644">
        <v>11</v>
      </c>
    </row>
    <row r="89" spans="1:37" s="1644" customFormat="1" ht="11.55" customHeight="1">
      <c r="A89" s="990"/>
      <c s="990"/>
      <c s="990"/>
      <c s="990"/>
      <c s="990"/>
      <c s="1639"/>
      <c s="1639"/>
      <c s="354"/>
      <c r="N89" s="1369"/>
      <c r="P89" s="1369"/>
      <c s="1639"/>
      <c s="1639"/>
      <c s="1369"/>
      <c s="1369"/>
      <c s="1369"/>
      <c s="1369"/>
      <c s="1639"/>
      <c s="1369"/>
      <c s="1369"/>
      <c s="547"/>
      <c s="1369"/>
      <c s="1369"/>
      <c s="1369"/>
      <c s="1369"/>
      <c s="1369"/>
      <c s="1635"/>
      <c s="625"/>
      <c s="625"/>
      <c s="625"/>
      <c s="625"/>
      <c s="1644">
        <v>11</v>
      </c>
    </row>
    <row r="90" spans="1:37" s="1644" customFormat="1" ht="11.55" customHeight="1">
      <c r="A90" s="990"/>
      <c s="990"/>
      <c s="990"/>
      <c s="990"/>
      <c s="990"/>
      <c s="1639"/>
      <c s="1639"/>
      <c s="354"/>
      <c r="N90" s="1369"/>
      <c r="P90" s="1369"/>
      <c s="1639"/>
      <c s="1639"/>
      <c s="1369"/>
      <c s="1369"/>
      <c s="1369"/>
      <c s="1369"/>
      <c s="1639"/>
      <c s="1369"/>
      <c s="1369"/>
      <c s="547"/>
      <c s="1369"/>
      <c s="1369"/>
      <c s="1369"/>
      <c s="1369"/>
      <c s="1369"/>
      <c s="1635"/>
      <c s="625"/>
      <c s="625"/>
      <c s="625"/>
      <c s="625"/>
      <c s="1644">
        <v>11</v>
      </c>
    </row>
    <row r="91" spans="1:37" s="1644" customFormat="1" ht="11.55" customHeight="1">
      <c r="A91" s="990"/>
      <c s="990"/>
      <c s="990"/>
      <c s="990"/>
      <c s="990"/>
      <c s="1639"/>
      <c s="1639"/>
      <c s="354"/>
      <c r="N91" s="1369"/>
      <c r="P91" s="1369"/>
      <c s="1639"/>
      <c s="1639"/>
      <c s="1369"/>
      <c s="1369"/>
      <c s="1369"/>
      <c s="1369"/>
      <c s="1639"/>
      <c s="1369"/>
      <c s="1369"/>
      <c s="547"/>
      <c s="1369"/>
      <c s="1369"/>
      <c s="1369"/>
      <c s="1369"/>
      <c s="1369"/>
      <c s="1635"/>
      <c s="625"/>
      <c s="625"/>
      <c s="625"/>
      <c s="625"/>
      <c s="1644">
        <v>11</v>
      </c>
    </row>
    <row r="92" spans="1:37" s="1644" customFormat="1" ht="11.55" customHeight="1">
      <c r="A92" s="990"/>
      <c s="990"/>
      <c s="990"/>
      <c s="990"/>
      <c s="990"/>
      <c s="1639"/>
      <c s="1639"/>
      <c s="354"/>
      <c r="N92" s="1369"/>
      <c r="P92" s="1369"/>
      <c s="1639"/>
      <c s="1639"/>
      <c s="1369"/>
      <c s="1369"/>
      <c s="1369"/>
      <c s="1369"/>
      <c s="1639"/>
      <c s="1369"/>
      <c s="1369"/>
      <c s="547"/>
      <c s="1369"/>
      <c s="1369"/>
      <c s="1369"/>
      <c s="1369"/>
      <c s="1369"/>
      <c s="1635"/>
      <c s="625"/>
      <c s="625"/>
      <c s="625"/>
      <c s="625"/>
      <c s="1644">
        <v>11</v>
      </c>
    </row>
    <row r="93" spans="1:37" s="1644" customFormat="1" ht="11.55" customHeight="1">
      <c r="A93" s="990"/>
      <c s="990"/>
      <c s="990"/>
      <c s="990"/>
      <c s="990"/>
      <c s="1639"/>
      <c s="1639"/>
      <c s="354"/>
      <c r="N93" s="1369"/>
      <c r="P93" s="1369"/>
      <c s="1639"/>
      <c s="1639"/>
      <c s="1369"/>
      <c s="1369"/>
      <c s="1369"/>
      <c s="1369"/>
      <c s="1639"/>
      <c s="1369"/>
      <c s="1369"/>
      <c s="547"/>
      <c s="1369"/>
      <c s="1369"/>
      <c s="1369"/>
      <c s="1369"/>
      <c s="1369"/>
      <c s="1635"/>
      <c s="625"/>
      <c s="625"/>
      <c s="625"/>
      <c s="625"/>
      <c s="1644">
        <v>11</v>
      </c>
    </row>
    <row r="94" spans="1:37" s="1644" customFormat="1" ht="11.55" customHeight="1">
      <c r="A94" s="990"/>
      <c s="990"/>
      <c s="990"/>
      <c s="990"/>
      <c s="990"/>
      <c s="1639"/>
      <c s="1639"/>
      <c s="354"/>
      <c r="N94" s="1369"/>
      <c r="P94" s="1369"/>
      <c s="1639"/>
      <c s="1639"/>
      <c s="1369"/>
      <c s="1369"/>
      <c s="1369"/>
      <c s="1369"/>
      <c s="1639"/>
      <c s="1369"/>
      <c s="1369"/>
      <c s="547"/>
      <c s="1369"/>
      <c s="1369"/>
      <c s="1369"/>
      <c s="1369"/>
      <c s="1369"/>
      <c s="1635"/>
      <c s="625"/>
      <c s="625"/>
      <c s="625"/>
      <c s="625"/>
      <c s="1644">
        <v>11</v>
      </c>
    </row>
    <row r="95" spans="1:37" s="1644" customFormat="1" ht="11.55" customHeight="1">
      <c r="A95" s="990"/>
      <c s="990"/>
      <c s="990"/>
      <c s="990"/>
      <c s="990"/>
      <c s="1639"/>
      <c s="1639"/>
      <c s="354"/>
      <c r="N95" s="1369"/>
      <c r="P95" s="1369"/>
      <c s="1639"/>
      <c s="1639"/>
      <c s="1369"/>
      <c s="1369"/>
      <c s="1369"/>
      <c s="1369"/>
      <c s="1639"/>
      <c s="1369"/>
      <c s="1369"/>
      <c s="547"/>
      <c s="1369"/>
      <c s="1369"/>
      <c s="1369"/>
      <c s="1369"/>
      <c s="1369"/>
      <c s="1635"/>
      <c s="625"/>
      <c s="625"/>
      <c s="625"/>
      <c s="625"/>
      <c s="1644">
        <v>11</v>
      </c>
    </row>
    <row r="96" spans="1:37" s="1644" customFormat="1" ht="11.55" customHeight="1">
      <c r="A96" s="990"/>
      <c s="990"/>
      <c s="990"/>
      <c s="990"/>
      <c s="990"/>
      <c s="1639"/>
      <c s="1639"/>
      <c s="354"/>
      <c r="N96" s="1369"/>
      <c r="P96" s="1369"/>
      <c s="1639"/>
      <c s="1639"/>
      <c s="1369"/>
      <c s="1369"/>
      <c s="1369"/>
      <c s="1369"/>
      <c s="1639"/>
      <c s="1369"/>
      <c s="1369"/>
      <c s="547"/>
      <c s="1369"/>
      <c s="1369"/>
      <c s="1369"/>
      <c s="1369"/>
      <c s="1369"/>
      <c s="1635"/>
      <c s="625"/>
      <c s="625"/>
      <c s="625"/>
      <c s="625"/>
      <c s="1644">
        <v>11</v>
      </c>
    </row>
    <row r="97" spans="1:37" s="1644" customFormat="1" ht="11.55" customHeight="1">
      <c r="A97" s="990"/>
      <c s="990"/>
      <c s="990"/>
      <c s="990"/>
      <c s="990"/>
      <c s="1639"/>
      <c s="1639"/>
      <c s="354"/>
      <c r="N97" s="1369"/>
      <c r="P97" s="1369"/>
      <c s="1639"/>
      <c s="1639"/>
      <c s="1369"/>
      <c s="1369"/>
      <c s="1369"/>
      <c s="1369"/>
      <c s="1639"/>
      <c s="1369"/>
      <c s="1369"/>
      <c s="547"/>
      <c s="1369"/>
      <c s="1369"/>
      <c s="1369"/>
      <c s="1369"/>
      <c s="1369"/>
      <c s="1635"/>
      <c s="625"/>
      <c s="625"/>
      <c s="625"/>
      <c s="625"/>
      <c s="1644">
        <v>11</v>
      </c>
    </row>
    <row r="98" spans="1:37" s="1644" customFormat="1" ht="11.55" customHeight="1">
      <c r="A98" s="990"/>
      <c s="990"/>
      <c s="990"/>
      <c s="990"/>
      <c s="990"/>
      <c s="1639"/>
      <c s="1639"/>
      <c s="354"/>
      <c r="N98" s="1369"/>
      <c r="P98" s="1369"/>
      <c s="1639"/>
      <c s="1639"/>
      <c s="1369"/>
      <c s="1369"/>
      <c s="1369"/>
      <c s="1369"/>
      <c s="1639"/>
      <c s="1369"/>
      <c s="1369"/>
      <c s="547"/>
      <c s="1369"/>
      <c s="1369"/>
      <c s="1369"/>
      <c s="1369"/>
      <c s="1369"/>
      <c s="1635"/>
      <c s="625"/>
      <c s="625"/>
      <c s="625"/>
      <c s="625"/>
      <c s="1644">
        <v>11</v>
      </c>
    </row>
    <row r="99" spans="1:37" s="1644" customFormat="1" ht="11.55" customHeight="1">
      <c r="A99" s="990"/>
      <c s="990"/>
      <c s="990"/>
      <c s="990"/>
      <c s="990"/>
      <c s="1639"/>
      <c s="1639"/>
      <c s="354"/>
      <c r="N99" s="1369"/>
      <c r="P99" s="1369"/>
      <c s="1639"/>
      <c s="1639"/>
      <c s="1369"/>
      <c s="1369"/>
      <c s="1369"/>
      <c s="1369"/>
      <c s="1639"/>
      <c s="1369"/>
      <c s="1369"/>
      <c s="547"/>
      <c s="1369"/>
      <c s="1369"/>
      <c s="1369"/>
      <c s="1369"/>
      <c s="1369"/>
      <c s="1635"/>
      <c s="625"/>
      <c s="625"/>
      <c s="625"/>
      <c s="625"/>
      <c s="1644">
        <v>11</v>
      </c>
    </row>
    <row r="100" spans="1:37" s="1644" customFormat="1" ht="11.55" customHeight="1">
      <c r="A100" s="990"/>
      <c s="990"/>
      <c s="990"/>
      <c s="990"/>
      <c s="990"/>
      <c s="1639"/>
      <c s="1639"/>
      <c s="354"/>
      <c r="N100" s="1369"/>
      <c r="P100" s="1369"/>
      <c s="1639"/>
      <c s="1639"/>
      <c s="1369"/>
      <c s="1369"/>
      <c s="1369"/>
      <c s="1369"/>
      <c s="1639"/>
      <c s="1369"/>
      <c s="1369"/>
      <c s="547"/>
      <c s="1369"/>
      <c s="1369"/>
      <c s="1369"/>
      <c s="1369"/>
      <c s="1369"/>
      <c s="1635"/>
      <c s="625"/>
      <c s="625"/>
      <c s="625"/>
      <c s="625"/>
      <c s="1644">
        <v>11</v>
      </c>
    </row>
    <row r="101" spans="1:37" s="1644" customFormat="1" ht="11.55" customHeight="1">
      <c r="A101" s="990"/>
      <c s="990"/>
      <c s="990"/>
      <c s="990"/>
      <c s="990"/>
      <c s="1639"/>
      <c s="1639"/>
      <c s="354"/>
      <c r="N101" s="1369"/>
      <c r="P101" s="1369"/>
      <c s="1639"/>
      <c s="1639"/>
      <c s="1369"/>
      <c s="1369"/>
      <c s="1369"/>
      <c s="1369"/>
      <c s="1639"/>
      <c s="1369"/>
      <c s="1369"/>
      <c s="547"/>
      <c s="1369"/>
      <c s="1369"/>
      <c s="1369"/>
      <c s="1369"/>
      <c s="1369"/>
      <c s="1635"/>
      <c s="625"/>
      <c s="625"/>
      <c s="625"/>
      <c s="625"/>
      <c s="1644">
        <v>11</v>
      </c>
    </row>
    <row r="102" spans="1:37" s="1644" customFormat="1" ht="11.55" customHeight="1">
      <c r="A102" s="990"/>
      <c s="990"/>
      <c s="990"/>
      <c s="990"/>
      <c s="990"/>
      <c s="1639"/>
      <c s="1639"/>
      <c s="354"/>
      <c r="N102" s="1369"/>
      <c r="P102" s="1369"/>
      <c s="1639"/>
      <c s="1639"/>
      <c s="1369"/>
      <c s="1369"/>
      <c s="1369"/>
      <c s="1369"/>
      <c s="1639"/>
      <c s="1369"/>
      <c s="1369"/>
      <c s="547"/>
      <c s="1369"/>
      <c s="1369"/>
      <c s="1369"/>
      <c s="1369"/>
      <c s="1369"/>
      <c s="1635"/>
      <c s="625"/>
      <c s="625"/>
      <c s="625"/>
      <c s="625"/>
      <c s="1644">
        <v>11</v>
      </c>
    </row>
    <row r="103" spans="1:37" s="1644" customFormat="1" ht="11.55" customHeight="1">
      <c r="A103" s="990"/>
      <c s="990"/>
      <c s="990"/>
      <c s="990"/>
      <c s="990"/>
      <c s="1639"/>
      <c s="1639"/>
      <c s="354"/>
      <c r="N103" s="1369"/>
      <c r="P103" s="1369"/>
      <c s="1639"/>
      <c s="1639"/>
      <c s="1369"/>
      <c s="1369"/>
      <c s="1369"/>
      <c s="1369"/>
      <c s="1639"/>
      <c s="1369"/>
      <c s="1369"/>
      <c s="547"/>
      <c s="1369"/>
      <c s="1369"/>
      <c s="1369"/>
      <c s="1369"/>
      <c s="1369"/>
      <c s="1635"/>
      <c s="625"/>
      <c s="625"/>
      <c s="625"/>
      <c s="625"/>
      <c s="1644">
        <v>11</v>
      </c>
    </row>
    <row r="104" spans="1:37" s="1644" customFormat="1" ht="11.55" customHeight="1">
      <c r="A104" s="990"/>
      <c s="990"/>
      <c s="990"/>
      <c s="990"/>
      <c s="990"/>
      <c s="1639"/>
      <c s="1639"/>
      <c s="354"/>
      <c r="N104" s="1369"/>
      <c r="P104" s="1369"/>
      <c s="1639"/>
      <c s="1639"/>
      <c s="1369"/>
      <c s="1369"/>
      <c s="1369"/>
      <c s="1369"/>
      <c s="1639"/>
      <c s="1369"/>
      <c s="1369"/>
      <c s="547"/>
      <c s="1369"/>
      <c s="1369"/>
      <c s="1369"/>
      <c s="1369"/>
      <c s="1369"/>
      <c s="1635"/>
      <c s="625"/>
      <c s="625"/>
      <c s="625"/>
      <c s="625"/>
      <c s="1644">
        <v>11</v>
      </c>
    </row>
    <row r="105" spans="1:37" s="1644" customFormat="1" ht="11.55" customHeight="1">
      <c r="A105" s="990"/>
      <c s="990"/>
      <c s="990"/>
      <c s="990"/>
      <c s="990"/>
      <c s="1639"/>
      <c s="1639"/>
      <c s="354"/>
      <c r="N105" s="1369"/>
      <c r="P105" s="1369"/>
      <c s="1639"/>
      <c s="1639"/>
      <c s="1369"/>
      <c s="1369"/>
      <c s="1369"/>
      <c s="1369"/>
      <c s="1639"/>
      <c s="1369"/>
      <c s="1369"/>
      <c s="547"/>
      <c s="1369"/>
      <c s="1369"/>
      <c s="1369"/>
      <c s="1369"/>
      <c s="1369"/>
      <c s="1635"/>
      <c s="625"/>
      <c s="625"/>
      <c s="625"/>
      <c s="625"/>
      <c s="1644">
        <v>11</v>
      </c>
    </row>
    <row r="106" spans="1:37" s="1644" customFormat="1" ht="11.55" customHeight="1">
      <c r="A106" s="990"/>
      <c s="990"/>
      <c s="990"/>
      <c s="990"/>
      <c s="990"/>
      <c s="1639"/>
      <c s="1639"/>
      <c s="354"/>
      <c r="N106" s="1369"/>
      <c r="P106" s="1369"/>
      <c s="1639"/>
      <c s="1639"/>
      <c s="1369"/>
      <c s="1369"/>
      <c s="1369"/>
      <c s="1369"/>
      <c s="1639"/>
      <c s="1369"/>
      <c s="1369"/>
      <c s="547"/>
      <c s="1369"/>
      <c s="1369"/>
      <c s="1369"/>
      <c s="1369"/>
      <c s="1369"/>
      <c s="1635"/>
      <c s="625"/>
      <c s="625"/>
      <c s="625"/>
      <c s="625"/>
      <c s="1644">
        <v>11</v>
      </c>
    </row>
    <row r="107" spans="1:37" s="1644" customFormat="1" ht="11.55" customHeight="1">
      <c r="A107" s="990"/>
      <c s="990"/>
      <c s="990"/>
      <c s="990"/>
      <c s="990"/>
      <c s="1639"/>
      <c s="1639"/>
      <c s="354"/>
      <c r="N107" s="1369"/>
      <c r="P107" s="1369"/>
      <c s="1639"/>
      <c s="1639"/>
      <c s="1369"/>
      <c s="1369"/>
      <c s="1369"/>
      <c s="1369"/>
      <c s="1639"/>
      <c s="1369"/>
      <c s="1369"/>
      <c s="547"/>
      <c s="1369"/>
      <c s="1369"/>
      <c s="1369"/>
      <c s="1369"/>
      <c s="1369"/>
      <c s="1635"/>
      <c s="625"/>
      <c s="625"/>
      <c s="625"/>
      <c s="625"/>
      <c s="1644">
        <v>11</v>
      </c>
    </row>
    <row r="108" spans="1:37" s="1644" customFormat="1" ht="11.55" customHeight="1">
      <c r="A108" s="990"/>
      <c s="990"/>
      <c s="990"/>
      <c s="990"/>
      <c s="990"/>
      <c s="1639"/>
      <c s="1639"/>
      <c s="354"/>
      <c r="N108" s="1369"/>
      <c r="P108" s="1369"/>
      <c s="1639"/>
      <c s="1639"/>
      <c s="1369"/>
      <c s="1369"/>
      <c s="1369"/>
      <c s="1369"/>
      <c s="1639"/>
      <c s="1369"/>
      <c s="1369"/>
      <c s="547"/>
      <c s="1369"/>
      <c s="1369"/>
      <c s="1369"/>
      <c s="1369"/>
      <c s="1369"/>
      <c s="1635"/>
      <c s="625"/>
      <c s="625"/>
      <c s="625"/>
      <c s="625"/>
      <c s="1644">
        <v>11</v>
      </c>
    </row>
    <row r="109" spans="1:37" s="1644" customFormat="1" ht="11.55" customHeight="1">
      <c r="A109" s="990"/>
      <c s="990"/>
      <c s="990"/>
      <c s="990"/>
      <c s="990"/>
      <c s="1639"/>
      <c s="1639"/>
      <c s="354"/>
      <c r="N109" s="1369"/>
      <c r="P109" s="1369"/>
      <c s="1639"/>
      <c s="1639"/>
      <c s="1369"/>
      <c s="1369"/>
      <c s="1369"/>
      <c s="1369"/>
      <c s="1639"/>
      <c s="1369"/>
      <c s="1369"/>
      <c s="547"/>
      <c s="1369"/>
      <c s="1369"/>
      <c s="1369"/>
      <c s="1369"/>
      <c s="1369"/>
      <c s="1635"/>
      <c s="625"/>
      <c s="625"/>
      <c s="625"/>
      <c s="625"/>
      <c s="1644">
        <v>11</v>
      </c>
    </row>
    <row r="110" spans="1:37" s="1644" customFormat="1" ht="11.55" customHeight="1">
      <c r="A110" s="990"/>
      <c s="990"/>
      <c s="990"/>
      <c s="990"/>
      <c s="990"/>
      <c s="1639"/>
      <c s="1639"/>
      <c s="354"/>
      <c r="N110" s="1369"/>
      <c r="P110" s="1369"/>
      <c s="1639"/>
      <c s="1639"/>
      <c s="1369"/>
      <c s="1369"/>
      <c s="1369"/>
      <c s="1369"/>
      <c s="1639"/>
      <c s="1369"/>
      <c s="1369"/>
      <c s="547"/>
      <c s="1369"/>
      <c s="1369"/>
      <c s="1369"/>
      <c s="1369"/>
      <c s="1369"/>
      <c s="1635"/>
      <c s="625"/>
      <c s="625"/>
      <c s="625"/>
      <c s="625"/>
      <c s="1644">
        <v>11</v>
      </c>
    </row>
    <row r="111" spans="1:37" s="1644" customFormat="1" ht="11.55" customHeight="1">
      <c r="A111" s="990"/>
      <c s="990"/>
      <c s="990"/>
      <c s="990"/>
      <c s="990"/>
      <c s="1639"/>
      <c s="1639"/>
      <c s="354"/>
      <c r="N111" s="1369"/>
      <c r="P111" s="1369"/>
      <c s="1639"/>
      <c s="1639"/>
      <c s="1369"/>
      <c s="1369"/>
      <c s="1369"/>
      <c s="1369"/>
      <c s="1639"/>
      <c s="1369"/>
      <c s="1369"/>
      <c s="547"/>
      <c s="1369"/>
      <c s="1369"/>
      <c s="1369"/>
      <c s="1369"/>
      <c s="1369"/>
      <c s="1635"/>
      <c s="625"/>
      <c s="625"/>
      <c s="625"/>
      <c s="625"/>
      <c s="1644">
        <v>11</v>
      </c>
    </row>
    <row r="112" spans="1:37" s="1644" customFormat="1" ht="11.55" customHeight="1">
      <c r="A112" s="990"/>
      <c s="990"/>
      <c s="990"/>
      <c s="990"/>
      <c s="990"/>
      <c s="1639"/>
      <c s="1639"/>
      <c s="354"/>
      <c r="N112" s="1369"/>
      <c r="P112" s="1369"/>
      <c s="1639"/>
      <c s="1639"/>
      <c s="1369"/>
      <c s="1369"/>
      <c s="1369"/>
      <c s="1369"/>
      <c s="1639"/>
      <c s="1369"/>
      <c s="1369"/>
      <c s="547"/>
      <c s="1369"/>
      <c s="1369"/>
      <c s="1369"/>
      <c s="1369"/>
      <c s="1369"/>
      <c s="1635"/>
      <c s="625"/>
      <c s="625"/>
      <c s="625"/>
      <c s="625"/>
      <c s="1644">
        <v>11</v>
      </c>
    </row>
    <row r="113" spans="1:37" s="1644" customFormat="1" ht="11.55" customHeight="1">
      <c r="A113" s="990"/>
      <c s="990"/>
      <c s="990"/>
      <c s="990"/>
      <c s="990"/>
      <c s="1639"/>
      <c s="1639"/>
      <c s="354"/>
      <c r="N113" s="1369"/>
      <c r="P113" s="1369"/>
      <c s="1639"/>
      <c s="1639"/>
      <c s="1369"/>
      <c s="1369"/>
      <c s="1369"/>
      <c s="1369"/>
      <c s="1639"/>
      <c s="1369"/>
      <c s="1369"/>
      <c s="547"/>
      <c s="1369"/>
      <c s="1369"/>
      <c s="1369"/>
      <c s="1369"/>
      <c s="1369"/>
      <c s="1635"/>
      <c s="625"/>
      <c s="625"/>
      <c s="625"/>
      <c s="625"/>
      <c s="1644">
        <v>11</v>
      </c>
    </row>
    <row r="114" spans="1:37" s="1644" customFormat="1" ht="11.55" customHeight="1">
      <c r="A114" s="990"/>
      <c s="990"/>
      <c s="990"/>
      <c s="990"/>
      <c s="990"/>
      <c s="1639"/>
      <c s="1639"/>
      <c s="354"/>
      <c r="N114" s="1369"/>
      <c r="P114" s="1369"/>
      <c s="1639"/>
      <c s="1639"/>
      <c s="1369"/>
      <c s="1369"/>
      <c s="1369"/>
      <c s="1369"/>
      <c s="1639"/>
      <c s="1369"/>
      <c s="1369"/>
      <c s="547"/>
      <c s="1369"/>
      <c s="1369"/>
      <c s="1369"/>
      <c s="1369"/>
      <c s="1369"/>
      <c s="1635"/>
      <c s="625"/>
      <c s="625"/>
      <c s="625"/>
      <c s="625"/>
      <c s="1644">
        <v>11</v>
      </c>
    </row>
    <row r="115" spans="1:37" s="1644" customFormat="1" ht="11.55" customHeight="1">
      <c r="A115" s="990"/>
      <c s="990"/>
      <c s="990"/>
      <c s="990"/>
      <c s="990"/>
      <c s="1639"/>
      <c s="1639"/>
      <c s="354"/>
      <c r="N115" s="1369"/>
      <c r="P115" s="1369"/>
      <c s="1639"/>
      <c s="1639"/>
      <c s="1369"/>
      <c s="1369"/>
      <c s="1369"/>
      <c s="1369"/>
      <c s="1639"/>
      <c s="1369"/>
      <c s="1369"/>
      <c s="547"/>
      <c s="1369"/>
      <c s="1369"/>
      <c s="1369"/>
      <c s="1369"/>
      <c s="1369"/>
      <c s="1635"/>
      <c s="625"/>
      <c s="625"/>
      <c s="625"/>
      <c s="625"/>
      <c s="1644">
        <v>11</v>
      </c>
    </row>
    <row r="116" spans="1:37" s="1644" customFormat="1" ht="11.55" customHeight="1">
      <c r="A116" s="990"/>
      <c s="990"/>
      <c s="990"/>
      <c s="990"/>
      <c s="990"/>
      <c s="1639"/>
      <c s="1639"/>
      <c s="354"/>
      <c r="N116" s="1369"/>
      <c r="P116" s="1369"/>
      <c s="1639"/>
      <c s="1639"/>
      <c s="1369"/>
      <c s="1369"/>
      <c s="1369"/>
      <c s="1369"/>
      <c s="1639"/>
      <c s="1369"/>
      <c s="1369"/>
      <c s="547"/>
      <c s="1369"/>
      <c s="1369"/>
      <c s="1369"/>
      <c s="1369"/>
      <c s="1369"/>
      <c s="1635"/>
      <c s="625"/>
      <c s="625"/>
      <c s="625"/>
      <c s="625"/>
      <c s="1644">
        <v>11</v>
      </c>
    </row>
    <row r="117" spans="1:37" s="1644" customFormat="1" ht="11.55" customHeight="1">
      <c r="A117" s="990"/>
      <c s="990"/>
      <c s="990"/>
      <c s="990"/>
      <c s="990"/>
      <c s="1639"/>
      <c s="1639"/>
      <c s="354"/>
      <c r="N117" s="1369"/>
      <c r="P117" s="1369"/>
      <c s="1639"/>
      <c s="1639"/>
      <c s="1369"/>
      <c s="1369"/>
      <c s="1369"/>
      <c s="1369"/>
      <c s="1639"/>
      <c s="1369"/>
      <c s="1369"/>
      <c s="547"/>
      <c s="1369"/>
      <c s="1369"/>
      <c s="1369"/>
      <c s="1369"/>
      <c s="1369"/>
      <c s="1635"/>
      <c s="625"/>
      <c s="625"/>
      <c s="625"/>
      <c s="625"/>
      <c s="1644">
        <v>11</v>
      </c>
    </row>
    <row r="118" spans="1:37" s="1644" customFormat="1" ht="11.55" customHeight="1">
      <c r="A118" s="990"/>
      <c s="990"/>
      <c s="990"/>
      <c s="990"/>
      <c s="990"/>
      <c s="1639"/>
      <c s="1639"/>
      <c s="354"/>
      <c r="N118" s="1369"/>
      <c r="P118" s="1369"/>
      <c s="1639"/>
      <c s="1639"/>
      <c s="1369"/>
      <c s="1369"/>
      <c s="1369"/>
      <c s="1369"/>
      <c s="1639"/>
      <c s="1369"/>
      <c s="1369"/>
      <c s="547"/>
      <c s="1369"/>
      <c s="1369"/>
      <c s="1369"/>
      <c s="1369"/>
      <c s="1369"/>
      <c s="1635"/>
      <c s="625"/>
      <c s="625"/>
      <c s="625"/>
      <c s="625"/>
      <c s="1644">
        <v>11</v>
      </c>
    </row>
    <row r="119" spans="1:37" s="1644" customFormat="1" ht="11.55" customHeight="1">
      <c r="A119" s="990"/>
      <c s="990"/>
      <c s="990"/>
      <c s="990"/>
      <c s="990"/>
      <c s="1639"/>
      <c s="1639"/>
      <c s="354"/>
      <c r="N119" s="1369"/>
      <c r="P119" s="1369"/>
      <c s="1639"/>
      <c s="1639"/>
      <c s="1369"/>
      <c s="1369"/>
      <c s="1369"/>
      <c s="1369"/>
      <c s="1639"/>
      <c s="1369"/>
      <c s="1369"/>
      <c s="547"/>
      <c s="1369"/>
      <c s="1369"/>
      <c s="1369"/>
      <c s="1369"/>
      <c s="1369"/>
      <c s="1635"/>
      <c s="625"/>
      <c s="625"/>
      <c s="625"/>
      <c s="625"/>
      <c s="1644">
        <v>11</v>
      </c>
    </row>
    <row r="120" spans="1:37" s="1644" customFormat="1" ht="11.55" customHeight="1">
      <c r="A120" s="990"/>
      <c s="990"/>
      <c s="990"/>
      <c s="990"/>
      <c s="990"/>
      <c s="1639"/>
      <c s="1639"/>
      <c s="354"/>
      <c r="N120" s="1369"/>
      <c r="P120" s="1369"/>
      <c s="1639"/>
      <c s="1639"/>
      <c s="1369"/>
      <c s="1369"/>
      <c s="1369"/>
      <c s="1369"/>
      <c s="1639"/>
      <c s="1369"/>
      <c s="1369"/>
      <c s="547"/>
      <c s="1369"/>
      <c s="1369"/>
      <c s="1369"/>
      <c s="1369"/>
      <c s="1369"/>
      <c s="1635"/>
      <c s="625"/>
      <c s="625"/>
      <c s="625"/>
      <c s="625"/>
      <c s="1644">
        <v>11</v>
      </c>
    </row>
    <row r="121" spans="1:37" s="1644" customFormat="1" ht="11.55" customHeight="1">
      <c r="A121" s="990"/>
      <c s="990"/>
      <c s="990"/>
      <c s="990"/>
      <c s="990"/>
      <c s="1639"/>
      <c s="1639"/>
      <c s="354"/>
      <c r="N121" s="1369"/>
      <c r="P121" s="1369"/>
      <c s="1639"/>
      <c s="1639"/>
      <c s="1369"/>
      <c s="1369"/>
      <c s="1369"/>
      <c s="1369"/>
      <c s="1639"/>
      <c s="1369"/>
      <c s="1369"/>
      <c s="547"/>
      <c s="1369"/>
      <c s="1369"/>
      <c s="1369"/>
      <c s="1369"/>
      <c s="1369"/>
      <c s="1635"/>
      <c s="625"/>
      <c s="625"/>
      <c s="625"/>
      <c s="625"/>
      <c s="1644">
        <v>11</v>
      </c>
    </row>
    <row r="122" spans="1:37" s="1644" customFormat="1" ht="11.55" customHeight="1">
      <c r="A122" s="990"/>
      <c s="990"/>
      <c s="990"/>
      <c s="990"/>
      <c s="990"/>
      <c s="1639"/>
      <c s="1639"/>
      <c s="354"/>
      <c r="N122" s="1369"/>
      <c r="P122" s="1369"/>
      <c s="1639"/>
      <c s="1639"/>
      <c s="1369"/>
      <c s="1369"/>
      <c s="1369"/>
      <c s="1369"/>
      <c s="1639"/>
      <c s="1369"/>
      <c s="1369"/>
      <c s="547"/>
      <c s="1369"/>
      <c s="1369"/>
      <c s="1369"/>
      <c s="1369"/>
      <c s="1369"/>
      <c s="1635"/>
      <c s="625"/>
      <c s="625"/>
      <c s="625"/>
      <c s="625"/>
      <c s="1644">
        <v>11</v>
      </c>
    </row>
    <row r="123" spans="1:37" s="1644" customFormat="1" ht="11.55" customHeight="1">
      <c r="A123" s="990"/>
      <c s="990"/>
      <c s="990"/>
      <c s="990"/>
      <c s="990"/>
      <c s="1639"/>
      <c s="1639"/>
      <c s="354"/>
      <c r="N123" s="1369"/>
      <c r="P123" s="1369"/>
      <c s="1639"/>
      <c s="1639"/>
      <c s="1369"/>
      <c s="1369"/>
      <c s="1369"/>
      <c s="1369"/>
      <c s="1639"/>
      <c s="1369"/>
      <c s="1369"/>
      <c s="547"/>
      <c s="1369"/>
      <c s="1369"/>
      <c s="1369"/>
      <c s="1369"/>
      <c s="1369"/>
      <c s="1635"/>
      <c s="625"/>
      <c s="625"/>
      <c s="625"/>
      <c s="625"/>
      <c s="1644">
        <v>11</v>
      </c>
    </row>
    <row r="124" spans="1:37" s="1644" customFormat="1" ht="11.55" customHeight="1">
      <c r="A124" s="990"/>
      <c s="990"/>
      <c s="990"/>
      <c s="990"/>
      <c s="990"/>
      <c s="1639"/>
      <c s="1639"/>
      <c s="354"/>
      <c r="N124" s="1369"/>
      <c r="P124" s="1369"/>
      <c s="1639"/>
      <c s="1639"/>
      <c s="1369"/>
      <c s="1369"/>
      <c s="1369"/>
      <c s="1369"/>
      <c s="1639"/>
      <c s="1369"/>
      <c s="1369"/>
      <c s="547"/>
      <c s="1369"/>
      <c s="1369"/>
      <c s="1369"/>
      <c s="1369"/>
      <c s="1369"/>
      <c s="1635"/>
      <c s="625"/>
      <c s="625"/>
      <c s="625"/>
      <c s="625"/>
      <c s="1644">
        <v>11</v>
      </c>
    </row>
    <row r="125" spans="1:37" s="1644" customFormat="1" ht="11.55" customHeight="1">
      <c r="A125" s="990"/>
      <c s="990"/>
      <c s="990"/>
      <c s="990"/>
      <c s="990"/>
      <c s="1639"/>
      <c s="1639"/>
      <c s="354"/>
      <c r="N125" s="1369"/>
      <c r="P125" s="1369"/>
      <c s="1639"/>
      <c s="1639"/>
      <c s="1369"/>
      <c s="1369"/>
      <c s="1369"/>
      <c s="1369"/>
      <c s="1639"/>
      <c s="1369"/>
      <c s="1369"/>
      <c s="547"/>
      <c s="1369"/>
      <c s="1369"/>
      <c s="1369"/>
      <c s="1369"/>
      <c s="1369"/>
      <c s="1635"/>
      <c s="625"/>
      <c s="625"/>
      <c s="625"/>
      <c s="625"/>
      <c s="1644">
        <v>11</v>
      </c>
    </row>
    <row r="126" spans="1:37" s="1644" customFormat="1" ht="11.55" customHeight="1">
      <c r="A126" s="990"/>
      <c s="990"/>
      <c s="990"/>
      <c s="990"/>
      <c s="990"/>
      <c s="1639"/>
      <c s="1639"/>
      <c s="354"/>
      <c r="N126" s="1369"/>
      <c r="P126" s="1369"/>
      <c s="1639"/>
      <c s="1639"/>
      <c s="1369"/>
      <c s="1369"/>
      <c s="1369"/>
      <c s="1369"/>
      <c s="1639"/>
      <c s="1369"/>
      <c s="1369"/>
      <c s="547"/>
      <c s="1369"/>
      <c s="1369"/>
      <c s="1369"/>
      <c s="1369"/>
      <c s="1369"/>
      <c s="1635"/>
      <c s="625"/>
      <c s="625"/>
      <c s="625"/>
      <c s="625"/>
      <c s="1644">
        <v>11</v>
      </c>
    </row>
    <row r="127" spans="1:37" s="1644" customFormat="1" ht="11.55" customHeight="1">
      <c r="A127" s="990"/>
      <c s="990"/>
      <c s="990"/>
      <c s="990"/>
      <c s="990"/>
      <c s="1639"/>
      <c s="1639"/>
      <c s="354"/>
      <c r="N127" s="1369"/>
      <c r="P127" s="1369"/>
      <c s="1639"/>
      <c s="1639"/>
      <c s="1369"/>
      <c s="1369"/>
      <c s="1369"/>
      <c s="1369"/>
      <c s="1639"/>
      <c s="1369"/>
      <c s="1369"/>
      <c s="547"/>
      <c s="1369"/>
      <c s="1369"/>
      <c s="1369"/>
      <c s="1369"/>
      <c s="1369"/>
      <c s="1635"/>
      <c s="625"/>
      <c s="625"/>
      <c s="625"/>
      <c s="625"/>
      <c s="1644">
        <v>11</v>
      </c>
    </row>
    <row r="128" spans="1:37" s="1644" customFormat="1" ht="11.55" customHeight="1">
      <c r="A128" s="990"/>
      <c s="990"/>
      <c s="990"/>
      <c s="990"/>
      <c s="990"/>
      <c s="1639"/>
      <c s="1639"/>
      <c s="354"/>
      <c r="N128" s="1369"/>
      <c r="P128" s="1369"/>
      <c s="1639"/>
      <c s="1639"/>
      <c s="1369"/>
      <c s="1369"/>
      <c s="1369"/>
      <c s="1369"/>
      <c s="1639"/>
      <c s="1369"/>
      <c s="1369"/>
      <c s="547"/>
      <c s="1369"/>
      <c s="1369"/>
      <c s="1369"/>
      <c s="1369"/>
      <c s="1369"/>
      <c s="1635"/>
      <c s="625"/>
      <c s="625"/>
      <c s="625"/>
      <c s="625"/>
      <c s="1644">
        <v>11</v>
      </c>
    </row>
    <row r="129" spans="1:37" s="1644" customFormat="1" ht="11.55" customHeight="1">
      <c r="A129" s="990"/>
      <c s="990"/>
      <c s="990"/>
      <c s="990"/>
      <c s="990"/>
      <c s="1639"/>
      <c s="1639"/>
      <c s="354"/>
      <c r="N129" s="1369"/>
      <c r="P129" s="1369"/>
      <c s="1639"/>
      <c s="1639"/>
      <c s="1369"/>
      <c s="1369"/>
      <c s="1369"/>
      <c s="1369"/>
      <c s="1639"/>
      <c s="1369"/>
      <c s="1369"/>
      <c s="547"/>
      <c s="1369"/>
      <c s="1369"/>
      <c s="1369"/>
      <c s="1369"/>
      <c s="1369"/>
      <c s="1635"/>
      <c s="625"/>
      <c s="625"/>
      <c s="625"/>
      <c s="625"/>
      <c s="1644">
        <v>11</v>
      </c>
    </row>
    <row r="130" spans="1:37" s="1644" customFormat="1" ht="11.55" customHeight="1">
      <c r="A130" s="990"/>
      <c s="990"/>
      <c s="990"/>
      <c s="990"/>
      <c s="990"/>
      <c s="1639"/>
      <c s="1639"/>
      <c s="354"/>
      <c r="N130" s="1369"/>
      <c r="P130" s="1369"/>
      <c s="1639"/>
      <c s="1639"/>
      <c s="1369"/>
      <c s="1369"/>
      <c s="1369"/>
      <c s="1369"/>
      <c s="1639"/>
      <c s="1369"/>
      <c s="1369"/>
      <c s="547"/>
      <c s="1369"/>
      <c s="1369"/>
      <c s="1369"/>
      <c s="1369"/>
      <c s="1369"/>
      <c s="1635"/>
      <c s="625"/>
      <c s="625"/>
      <c s="625"/>
      <c s="625"/>
      <c s="1644">
        <v>11</v>
      </c>
    </row>
    <row r="131" spans="1:37" s="1644" customFormat="1" ht="11.55" customHeight="1">
      <c r="A131" s="990"/>
      <c s="990"/>
      <c s="990"/>
      <c s="990"/>
      <c s="990"/>
      <c s="1639"/>
      <c s="1639"/>
      <c s="354"/>
      <c r="N131" s="1369"/>
      <c r="P131" s="1369"/>
      <c s="1639"/>
      <c s="1639"/>
      <c s="1369"/>
      <c s="1369"/>
      <c s="1369"/>
      <c s="1369"/>
      <c s="1639"/>
      <c s="1369"/>
      <c s="1369"/>
      <c s="547"/>
      <c s="1369"/>
      <c s="1369"/>
      <c s="1369"/>
      <c s="1369"/>
      <c s="1369"/>
      <c s="1635"/>
      <c s="625"/>
      <c s="625"/>
      <c s="625"/>
      <c s="625"/>
      <c s="1644">
        <v>11</v>
      </c>
    </row>
    <row r="132" spans="1:37" s="1644" customFormat="1" ht="11.55" customHeight="1">
      <c r="A132" s="990"/>
      <c s="990"/>
      <c s="990"/>
      <c s="990"/>
      <c s="990"/>
      <c s="1639"/>
      <c s="1639"/>
      <c s="354"/>
      <c r="N132" s="1369"/>
      <c r="P132" s="1369"/>
      <c s="1639"/>
      <c s="1639"/>
      <c s="1369"/>
      <c s="1369"/>
      <c s="1369"/>
      <c s="1369"/>
      <c s="1639"/>
      <c s="1369"/>
      <c s="1369"/>
      <c s="547"/>
      <c s="1369"/>
      <c s="1369"/>
      <c s="1369"/>
      <c s="1369"/>
      <c s="1369"/>
      <c s="1635"/>
      <c s="625"/>
      <c s="625"/>
      <c s="625"/>
      <c s="625"/>
      <c s="1644">
        <v>11</v>
      </c>
    </row>
    <row r="133" spans="1:37" s="1644" customFormat="1" ht="11.55" customHeight="1">
      <c r="A133" s="990"/>
      <c s="990"/>
      <c s="990"/>
      <c s="990"/>
      <c s="990"/>
      <c s="1639"/>
      <c s="1639"/>
      <c s="354"/>
      <c r="N133" s="1369"/>
      <c r="P133" s="1369"/>
      <c s="1639"/>
      <c s="1639"/>
      <c s="1369"/>
      <c s="1369"/>
      <c s="1369"/>
      <c s="1369"/>
      <c s="1639"/>
      <c s="1369"/>
      <c s="1369"/>
      <c s="547"/>
      <c s="1369"/>
      <c s="1369"/>
      <c s="1369"/>
      <c s="1369"/>
      <c s="1369"/>
      <c s="1635"/>
      <c s="625"/>
      <c s="625"/>
      <c s="625"/>
      <c s="625"/>
      <c s="1644">
        <v>11</v>
      </c>
    </row>
    <row r="134" spans="1:37" s="1644" customFormat="1" ht="11.55" customHeight="1">
      <c r="A134" s="990"/>
      <c s="990"/>
      <c s="990"/>
      <c s="990"/>
      <c s="990"/>
      <c s="1639"/>
      <c s="1639"/>
      <c s="354"/>
      <c r="N134" s="1369"/>
      <c r="P134" s="1369"/>
      <c s="1639"/>
      <c s="1639"/>
      <c s="1369"/>
      <c s="1369"/>
      <c s="1369"/>
      <c s="1369"/>
      <c s="1639"/>
      <c s="1369"/>
      <c s="1369"/>
      <c s="547"/>
      <c s="1369"/>
      <c s="1369"/>
      <c s="1369"/>
      <c s="1369"/>
      <c s="1369"/>
      <c s="1635"/>
      <c s="625"/>
      <c s="625"/>
      <c s="625"/>
      <c s="625"/>
      <c s="1644">
        <v>11</v>
      </c>
    </row>
    <row r="135" spans="1:37" s="1644" customFormat="1" ht="11.55" customHeight="1">
      <c r="A135" s="990"/>
      <c s="990"/>
      <c s="990"/>
      <c s="990"/>
      <c s="990"/>
      <c s="1639"/>
      <c s="1639"/>
      <c s="354"/>
      <c r="N135" s="1369"/>
      <c r="P135" s="1369"/>
      <c s="1639"/>
      <c s="1639"/>
      <c s="1369"/>
      <c s="1369"/>
      <c s="1369"/>
      <c s="1369"/>
      <c s="1639"/>
      <c s="1369"/>
      <c s="1369"/>
      <c s="547"/>
      <c s="1369"/>
      <c s="1369"/>
      <c s="1369"/>
      <c s="1369"/>
      <c s="1369"/>
      <c s="1635"/>
      <c s="625"/>
      <c s="625"/>
      <c s="625"/>
      <c s="625"/>
      <c s="1644">
        <v>11</v>
      </c>
    </row>
    <row r="136" spans="1:37" s="1644" customFormat="1" ht="11.55" customHeight="1">
      <c r="A136" s="990"/>
      <c s="990"/>
      <c s="990"/>
      <c s="990"/>
      <c s="990"/>
      <c s="1639"/>
      <c s="1639"/>
      <c s="354"/>
      <c r="N136" s="1369"/>
      <c r="P136" s="1369"/>
      <c s="1639"/>
      <c s="1639"/>
      <c s="1369"/>
      <c s="1369"/>
      <c s="1369"/>
      <c s="1369"/>
      <c s="1639"/>
      <c s="1369"/>
      <c s="1369"/>
      <c s="547"/>
      <c s="1369"/>
      <c s="1369"/>
      <c s="1369"/>
      <c s="1369"/>
      <c s="1369"/>
      <c s="1635"/>
      <c s="625"/>
      <c s="625"/>
      <c s="625"/>
      <c s="625"/>
      <c s="1644">
        <v>11</v>
      </c>
    </row>
    <row r="137" spans="1:37" s="1644" customFormat="1" ht="11.55" customHeight="1">
      <c r="A137" s="990"/>
      <c s="990"/>
      <c s="990"/>
      <c s="990"/>
      <c s="990"/>
      <c s="1639"/>
      <c s="1639"/>
      <c s="354"/>
      <c r="N137" s="1369"/>
      <c r="P137" s="1369"/>
      <c s="1639"/>
      <c s="1639"/>
      <c s="1369"/>
      <c s="1369"/>
      <c s="1369"/>
      <c s="1369"/>
      <c s="1639"/>
      <c s="1369"/>
      <c s="1369"/>
      <c s="547"/>
      <c s="1369"/>
      <c s="1369"/>
      <c s="1369"/>
      <c s="1369"/>
      <c s="1369"/>
      <c s="1635"/>
      <c s="625"/>
      <c s="625"/>
      <c s="625"/>
      <c s="625"/>
      <c s="1644">
        <v>11</v>
      </c>
    </row>
    <row r="138" spans="1:37" s="1644" customFormat="1" ht="11.55" customHeight="1">
      <c r="A138" s="990"/>
      <c s="990"/>
      <c s="990"/>
      <c s="990"/>
      <c s="990"/>
      <c s="1639"/>
      <c s="1639"/>
      <c s="354"/>
      <c r="N138" s="1369"/>
      <c r="P138" s="1369"/>
      <c s="1639"/>
      <c s="1639"/>
      <c s="1369"/>
      <c s="1369"/>
      <c s="1369"/>
      <c s="1369"/>
      <c s="1639"/>
      <c s="1369"/>
      <c s="1369"/>
      <c s="547"/>
      <c s="1369"/>
      <c s="1369"/>
      <c s="1369"/>
      <c s="1369"/>
      <c s="1369"/>
      <c s="1635"/>
      <c s="625"/>
      <c s="625"/>
      <c s="625"/>
      <c s="625"/>
      <c s="1644">
        <v>11</v>
      </c>
    </row>
    <row r="139" spans="1:37" s="1644" customFormat="1" ht="11.55" customHeight="1">
      <c r="A139" s="990"/>
      <c s="990"/>
      <c s="990"/>
      <c s="990"/>
      <c s="990"/>
      <c s="1639"/>
      <c s="1639"/>
      <c s="354"/>
      <c r="N139" s="1369"/>
      <c r="P139" s="1369"/>
      <c s="1639"/>
      <c s="1639"/>
      <c s="1369"/>
      <c s="1369"/>
      <c s="1369"/>
      <c s="1369"/>
      <c s="1639"/>
      <c s="1369"/>
      <c s="1369"/>
      <c s="547"/>
      <c s="1369"/>
      <c s="1369"/>
      <c s="1369"/>
      <c s="1369"/>
      <c s="1369"/>
      <c s="1635"/>
      <c s="625"/>
      <c s="625"/>
      <c s="625"/>
      <c s="625"/>
      <c s="1644">
        <v>11</v>
      </c>
    </row>
    <row r="140" spans="1:37" s="1644" customFormat="1" ht="11.55" customHeight="1">
      <c r="A140" s="990"/>
      <c s="990"/>
      <c s="990"/>
      <c s="990"/>
      <c s="990"/>
      <c s="1639"/>
      <c s="1639"/>
      <c s="354"/>
      <c r="N140" s="1369"/>
      <c r="P140" s="1369"/>
      <c s="1639"/>
      <c s="1639"/>
      <c s="1369"/>
      <c s="1369"/>
      <c s="1369"/>
      <c s="1369"/>
      <c s="1639"/>
      <c s="1369"/>
      <c s="1369"/>
      <c s="547"/>
      <c s="1369"/>
      <c s="1369"/>
      <c s="1369"/>
      <c s="1369"/>
      <c s="1369"/>
      <c s="1635"/>
      <c s="625"/>
      <c s="625"/>
      <c s="625"/>
      <c s="625"/>
      <c s="1644">
        <v>11</v>
      </c>
    </row>
    <row r="141" spans="1:37" s="1644" customFormat="1" ht="11.55" customHeight="1">
      <c r="A141" s="990"/>
      <c s="990"/>
      <c s="990"/>
      <c s="990"/>
      <c s="990"/>
      <c s="1639"/>
      <c s="1639"/>
      <c s="354"/>
      <c r="N141" s="1369"/>
      <c r="P141" s="1369"/>
      <c s="1639"/>
      <c s="1639"/>
      <c s="1369"/>
      <c s="1369"/>
      <c s="1369"/>
      <c s="1369"/>
      <c s="1639"/>
      <c s="1369"/>
      <c s="1369"/>
      <c s="547"/>
      <c s="1369"/>
      <c s="1369"/>
      <c s="1369"/>
      <c s="1369"/>
      <c s="1369"/>
      <c s="1635"/>
      <c s="625"/>
      <c s="625"/>
      <c s="625"/>
      <c s="625"/>
      <c s="1644">
        <v>11</v>
      </c>
    </row>
    <row r="142" spans="1:37" s="1644" customFormat="1" ht="11.55" customHeight="1">
      <c r="A142" s="990"/>
      <c s="990"/>
      <c s="990"/>
      <c s="990"/>
      <c s="990"/>
      <c s="1639"/>
      <c s="1639"/>
      <c s="354"/>
      <c r="N142" s="1369"/>
      <c r="P142" s="1369"/>
      <c s="1639"/>
      <c s="1639"/>
      <c s="1369"/>
      <c s="1369"/>
      <c s="1369"/>
      <c s="1369"/>
      <c s="1639"/>
      <c s="1369"/>
      <c s="1369"/>
      <c s="547"/>
      <c s="1369"/>
      <c s="1369"/>
      <c s="1369"/>
      <c s="1369"/>
      <c s="1369"/>
      <c s="1635"/>
      <c s="625"/>
      <c s="625"/>
      <c s="625"/>
      <c s="625"/>
      <c s="1644">
        <v>11</v>
      </c>
    </row>
    <row r="143" spans="1:37" s="1644" customFormat="1" ht="11.55" customHeight="1">
      <c r="A143" s="990"/>
      <c s="990"/>
      <c s="990"/>
      <c s="990"/>
      <c s="990"/>
      <c s="1639"/>
      <c s="1639"/>
      <c s="354"/>
      <c r="N143" s="1369"/>
      <c r="P143" s="1369"/>
      <c s="1639"/>
      <c s="1639"/>
      <c s="1369"/>
      <c s="1369"/>
      <c s="1369"/>
      <c s="1369"/>
      <c s="1639"/>
      <c s="1369"/>
      <c s="1369"/>
      <c s="547"/>
      <c s="1369"/>
      <c s="1369"/>
      <c s="1369"/>
      <c s="1369"/>
      <c s="1369"/>
      <c s="1635"/>
      <c s="625"/>
      <c s="625"/>
      <c s="625"/>
      <c s="625"/>
      <c s="1644">
        <v>11</v>
      </c>
    </row>
    <row r="144" spans="1:37" s="1644" customFormat="1" ht="11.55" customHeight="1">
      <c r="A144" s="990"/>
      <c s="990"/>
      <c s="990"/>
      <c s="990"/>
      <c s="990"/>
      <c s="1639"/>
      <c s="1639"/>
      <c s="354"/>
      <c r="N144" s="1369"/>
      <c r="P144" s="1369"/>
      <c s="1639"/>
      <c s="1639"/>
      <c s="1369"/>
      <c s="1369"/>
      <c s="1369"/>
      <c s="1369"/>
      <c s="1639"/>
      <c s="1369"/>
      <c s="1369"/>
      <c s="547"/>
      <c s="1369"/>
      <c s="1369"/>
      <c s="1369"/>
      <c s="1369"/>
      <c s="1369"/>
      <c s="1635"/>
      <c s="625"/>
      <c s="625"/>
      <c s="625"/>
      <c s="625"/>
      <c s="1644">
        <v>11</v>
      </c>
    </row>
    <row r="145" spans="1:37" s="1644" customFormat="1" ht="11.55" customHeight="1">
      <c r="A145" s="990"/>
      <c s="990"/>
      <c s="990"/>
      <c s="990"/>
      <c s="990"/>
      <c s="1639"/>
      <c s="1639"/>
      <c s="354"/>
      <c r="N145" s="1369"/>
      <c r="P145" s="1369"/>
      <c s="1639"/>
      <c s="1639"/>
      <c s="1369"/>
      <c s="1369"/>
      <c s="1369"/>
      <c s="1369"/>
      <c s="1639"/>
      <c s="1369"/>
      <c s="1369"/>
      <c s="547"/>
      <c s="1369"/>
      <c s="1369"/>
      <c s="1369"/>
      <c s="1369"/>
      <c s="1369"/>
      <c s="1635"/>
      <c s="625"/>
      <c s="625"/>
      <c s="625"/>
      <c s="625"/>
      <c s="1644">
        <v>11</v>
      </c>
    </row>
    <row r="146" spans="1:37" s="1644" customFormat="1" ht="11.55" customHeight="1">
      <c r="A146" s="990"/>
      <c s="990"/>
      <c s="990"/>
      <c s="990"/>
      <c s="990"/>
      <c s="1639"/>
      <c s="1639"/>
      <c s="354"/>
      <c r="N146" s="1369"/>
      <c r="P146" s="1369"/>
      <c s="1639"/>
      <c s="1639"/>
      <c s="1369"/>
      <c s="1369"/>
      <c s="1369"/>
      <c s="1369"/>
      <c s="1639"/>
      <c s="1369"/>
      <c s="1369"/>
      <c s="547"/>
      <c s="1369"/>
      <c s="1369"/>
      <c s="1369"/>
      <c s="1369"/>
      <c s="1369"/>
      <c s="1635"/>
      <c s="625"/>
      <c s="625"/>
      <c s="625"/>
      <c s="625"/>
      <c s="1644">
        <v>11</v>
      </c>
    </row>
    <row r="147" spans="1:37" s="1644" customFormat="1" ht="11.55" customHeight="1">
      <c r="A147" s="990"/>
      <c s="990"/>
      <c s="990"/>
      <c s="990"/>
      <c s="990"/>
      <c s="1639"/>
      <c s="1639"/>
      <c s="354"/>
      <c r="N147" s="1369"/>
      <c r="P147" s="1369"/>
      <c s="1639"/>
      <c s="1639"/>
      <c s="1369"/>
      <c s="1369"/>
      <c s="1369"/>
      <c s="1369"/>
      <c s="1639"/>
      <c s="1369"/>
      <c s="1369"/>
      <c s="547"/>
      <c s="1369"/>
      <c s="1369"/>
      <c s="1369"/>
      <c s="1369"/>
      <c s="1369"/>
      <c s="1635"/>
      <c s="625"/>
      <c s="625"/>
      <c s="625"/>
      <c s="625"/>
      <c s="1644">
        <v>11</v>
      </c>
    </row>
    <row r="148" spans="1:37" s="1644" customFormat="1" ht="11.55" customHeight="1">
      <c r="A148" s="990"/>
      <c s="990"/>
      <c s="990"/>
      <c s="990"/>
      <c s="990"/>
      <c s="1639"/>
      <c s="1639"/>
      <c s="354"/>
      <c r="N148" s="1369"/>
      <c r="P148" s="1369"/>
      <c s="1639"/>
      <c s="1639"/>
      <c s="1369"/>
      <c s="1369"/>
      <c s="1369"/>
      <c s="1369"/>
      <c s="1639"/>
      <c s="1369"/>
      <c s="1369"/>
      <c s="547"/>
      <c s="1369"/>
      <c s="1369"/>
      <c s="1369"/>
      <c s="1369"/>
      <c s="1369"/>
      <c s="1635"/>
      <c s="625"/>
      <c s="625"/>
      <c s="625"/>
      <c s="625"/>
      <c s="1644">
        <v>11</v>
      </c>
    </row>
    <row r="149" spans="1:37" s="1644" customFormat="1" ht="11.55" customHeight="1">
      <c r="A149" s="990"/>
      <c s="990"/>
      <c s="990"/>
      <c s="990"/>
      <c s="990"/>
      <c s="1639"/>
      <c s="1639"/>
      <c s="354"/>
      <c r="N149" s="1369"/>
      <c r="P149" s="1369"/>
      <c s="1639"/>
      <c s="1639"/>
      <c s="1369"/>
      <c s="1369"/>
      <c s="1369"/>
      <c s="1369"/>
      <c s="1639"/>
      <c s="1369"/>
      <c s="1369"/>
      <c s="547"/>
      <c s="1369"/>
      <c s="1369"/>
      <c s="1369"/>
      <c s="1369"/>
      <c s="1369"/>
      <c s="1635"/>
      <c s="625"/>
      <c s="625"/>
      <c s="625"/>
      <c s="625"/>
      <c s="1644">
        <v>11</v>
      </c>
    </row>
    <row r="150" spans="1:37" s="1644" customFormat="1" ht="11.55" customHeight="1">
      <c r="A150" s="990"/>
      <c s="990"/>
      <c s="990"/>
      <c s="990"/>
      <c s="990"/>
      <c s="1639"/>
      <c s="1639"/>
      <c s="354"/>
      <c r="N150" s="1369"/>
      <c r="P150" s="1369"/>
      <c s="1639"/>
      <c s="1639"/>
      <c s="1369"/>
      <c s="1369"/>
      <c s="1369"/>
      <c s="1369"/>
      <c s="1639"/>
      <c s="1369"/>
      <c s="1369"/>
      <c s="547"/>
      <c s="1369"/>
      <c s="1369"/>
      <c s="1369"/>
      <c s="1369"/>
      <c s="1369"/>
      <c s="1635"/>
      <c s="625"/>
      <c s="625"/>
      <c s="625"/>
      <c s="625"/>
      <c s="1644">
        <v>11</v>
      </c>
    </row>
    <row r="151" spans="1:37" s="1644" customFormat="1" ht="11.55" customHeight="1">
      <c r="A151" s="990"/>
      <c s="990"/>
      <c s="990"/>
      <c s="990"/>
      <c s="990"/>
      <c s="1639"/>
      <c s="1639"/>
      <c s="354"/>
      <c r="N151" s="1369"/>
      <c r="P151" s="1369"/>
      <c s="1639"/>
      <c s="1639"/>
      <c s="1369"/>
      <c s="1369"/>
      <c s="1369"/>
      <c s="1369"/>
      <c s="1639"/>
      <c s="1369"/>
      <c s="1369"/>
      <c s="547"/>
      <c s="1369"/>
      <c s="1369"/>
      <c s="1369"/>
      <c s="1369"/>
      <c s="1369"/>
      <c s="1635"/>
      <c s="625"/>
      <c s="625"/>
      <c s="625"/>
      <c s="625"/>
      <c s="1644">
        <v>11</v>
      </c>
    </row>
    <row r="152" spans="1:37" s="1644" customFormat="1" ht="11.55" customHeight="1">
      <c r="A152" s="990"/>
      <c s="990"/>
      <c s="990"/>
      <c s="990"/>
      <c s="990"/>
      <c s="1639"/>
      <c s="1639"/>
      <c s="354"/>
      <c r="N152" s="1369"/>
      <c r="P152" s="1369"/>
      <c s="1639"/>
      <c s="1639"/>
      <c s="1369"/>
      <c s="1369"/>
      <c s="1369"/>
      <c s="1369"/>
      <c s="1639"/>
      <c s="1369"/>
      <c s="1369"/>
      <c s="547"/>
      <c s="1369"/>
      <c s="1369"/>
      <c s="1369"/>
      <c s="1369"/>
      <c s="1369"/>
      <c s="1635"/>
      <c s="625"/>
      <c s="625"/>
      <c s="625"/>
      <c s="625"/>
      <c s="1644">
        <v>11</v>
      </c>
    </row>
    <row r="153" spans="1:37" s="1644" customFormat="1" ht="11.55" customHeight="1">
      <c r="A153" s="990"/>
      <c s="990"/>
      <c s="990"/>
      <c s="990"/>
      <c s="990"/>
      <c s="1639"/>
      <c s="1639"/>
      <c s="354"/>
      <c r="N153" s="1369"/>
      <c r="P153" s="1369"/>
      <c s="1639"/>
      <c s="1639"/>
      <c s="1369"/>
      <c s="1369"/>
      <c s="1369"/>
      <c s="1369"/>
      <c s="1639"/>
      <c s="1369"/>
      <c s="1369"/>
      <c s="547"/>
      <c s="1369"/>
      <c s="1369"/>
      <c s="1369"/>
      <c s="1369"/>
      <c s="1369"/>
      <c s="1635"/>
      <c s="625"/>
      <c s="625"/>
      <c s="625"/>
      <c s="625"/>
      <c s="1644">
        <v>11</v>
      </c>
    </row>
    <row r="154" spans="1:37" s="1644" customFormat="1" ht="11.55" customHeight="1">
      <c r="A154" s="990"/>
      <c s="990"/>
      <c s="990"/>
      <c s="990"/>
      <c s="990"/>
      <c s="1639"/>
      <c s="1639"/>
      <c s="354"/>
      <c r="N154" s="1369"/>
      <c r="P154" s="1369"/>
      <c s="1639"/>
      <c s="1639"/>
      <c s="1369"/>
      <c s="1369"/>
      <c s="1369"/>
      <c s="1369"/>
      <c s="1639"/>
      <c s="1369"/>
      <c s="1369"/>
      <c s="547"/>
      <c s="1369"/>
      <c s="1369"/>
      <c s="1369"/>
      <c s="1369"/>
      <c s="1369"/>
      <c s="1635"/>
      <c s="625"/>
      <c s="625"/>
      <c s="625"/>
      <c s="625"/>
      <c s="1644">
        <v>11</v>
      </c>
    </row>
    <row r="155" spans="1:37" s="1644" customFormat="1" ht="11.55" customHeight="1">
      <c r="A155" s="990"/>
      <c s="990"/>
      <c s="990"/>
      <c s="990"/>
      <c s="990"/>
      <c s="1639"/>
      <c s="1639"/>
      <c s="354"/>
      <c r="N155" s="1369"/>
      <c r="P155" s="1369"/>
      <c s="1639"/>
      <c s="1639"/>
      <c s="1369"/>
      <c s="1369"/>
      <c s="1369"/>
      <c s="1369"/>
      <c s="1639"/>
      <c s="1369"/>
      <c s="1369"/>
      <c s="547"/>
      <c s="1369"/>
      <c s="1369"/>
      <c s="1369"/>
      <c s="1369"/>
      <c s="1369"/>
      <c s="1635"/>
      <c s="625"/>
      <c s="625"/>
      <c s="625"/>
      <c s="625"/>
      <c s="1644">
        <v>11</v>
      </c>
    </row>
    <row r="156" spans="1:37" s="1644" customFormat="1" ht="11.55" customHeight="1">
      <c r="A156" s="990"/>
      <c s="990"/>
      <c s="990"/>
      <c s="990"/>
      <c s="990"/>
      <c s="1639"/>
      <c s="1639"/>
      <c s="354"/>
      <c r="N156" s="1369"/>
      <c r="P156" s="1369"/>
      <c s="1639"/>
      <c s="1639"/>
      <c s="1369"/>
      <c s="1369"/>
      <c s="1369"/>
      <c s="1369"/>
      <c s="1639"/>
      <c s="1369"/>
      <c s="1369"/>
      <c s="547"/>
      <c s="1369"/>
      <c s="1369"/>
      <c s="1369"/>
      <c s="1369"/>
      <c s="1369"/>
      <c s="1635"/>
      <c s="625"/>
      <c s="625"/>
      <c s="625"/>
      <c s="625"/>
      <c s="1644">
        <v>11</v>
      </c>
    </row>
    <row r="157" spans="1:37" s="1644" customFormat="1" ht="11.55" customHeight="1">
      <c r="A157" s="990"/>
      <c s="990"/>
      <c s="990"/>
      <c s="990"/>
      <c s="990"/>
      <c s="1639"/>
      <c s="1639"/>
      <c s="354"/>
      <c r="N157" s="1369"/>
      <c r="P157" s="1369"/>
      <c s="1639"/>
      <c s="1639"/>
      <c s="1369"/>
      <c s="1369"/>
      <c s="1369"/>
      <c s="1369"/>
      <c s="1639"/>
      <c s="1369"/>
      <c s="1369"/>
      <c s="547"/>
      <c s="1369"/>
      <c s="1369"/>
      <c s="1369"/>
      <c s="1369"/>
      <c s="1369"/>
      <c s="1635"/>
      <c s="625"/>
      <c s="625"/>
      <c s="625"/>
      <c s="625"/>
      <c s="1644">
        <v>11</v>
      </c>
    </row>
    <row r="158" spans="1:37" s="1644" customFormat="1" ht="11.55" customHeight="1">
      <c r="A158" s="990"/>
      <c s="990"/>
      <c s="990"/>
      <c s="990"/>
      <c s="990"/>
      <c s="1639"/>
      <c s="1639"/>
      <c s="354"/>
      <c r="N158" s="1369"/>
      <c r="P158" s="1369"/>
      <c s="1639"/>
      <c s="1639"/>
      <c s="1369"/>
      <c s="1369"/>
      <c s="1369"/>
      <c s="1369"/>
      <c s="1639"/>
      <c s="1369"/>
      <c s="1369"/>
      <c s="547"/>
      <c s="1369"/>
      <c s="1369"/>
      <c s="1369"/>
      <c s="1369"/>
      <c s="1369"/>
      <c s="1635"/>
      <c s="625"/>
      <c s="625"/>
      <c s="625"/>
      <c s="625"/>
      <c s="1644">
        <v>11</v>
      </c>
    </row>
    <row r="159" spans="1:37" s="1644" customFormat="1" ht="11.55" customHeight="1">
      <c r="A159" s="990"/>
      <c s="990"/>
      <c s="990"/>
      <c s="990"/>
      <c s="990"/>
      <c s="1639"/>
      <c s="1639"/>
      <c s="354"/>
      <c r="N159" s="1369"/>
      <c r="P159" s="1369"/>
      <c s="1639"/>
      <c s="1639"/>
      <c s="1369"/>
      <c s="1369"/>
      <c s="1369"/>
      <c s="1369"/>
      <c s="1639"/>
      <c s="1369"/>
      <c s="1369"/>
      <c s="547"/>
      <c s="1369"/>
      <c s="1369"/>
      <c s="1369"/>
      <c s="1369"/>
      <c s="1369"/>
      <c s="1635"/>
      <c s="625"/>
      <c s="625"/>
      <c s="625"/>
      <c s="625"/>
      <c s="1644">
        <v>11</v>
      </c>
    </row>
    <row r="160" spans="1:37" s="1644" customFormat="1" ht="11.55" customHeight="1">
      <c r="A160" s="990"/>
      <c s="990"/>
      <c s="990"/>
      <c s="990"/>
      <c s="990"/>
      <c s="1639"/>
      <c s="1639"/>
      <c s="354"/>
      <c r="N160" s="1369"/>
      <c r="P160" s="1369"/>
      <c s="1639"/>
      <c s="1639"/>
      <c s="1369"/>
      <c s="1369"/>
      <c s="1369"/>
      <c s="1369"/>
      <c s="1639"/>
      <c s="1369"/>
      <c s="1369"/>
      <c s="547"/>
      <c s="1369"/>
      <c s="1369"/>
      <c s="1369"/>
      <c s="1369"/>
      <c s="1369"/>
      <c s="1635"/>
      <c s="625"/>
      <c s="625"/>
      <c s="625"/>
      <c s="625"/>
      <c s="1644">
        <v>11</v>
      </c>
    </row>
    <row r="161" spans="1:37" s="1644" customFormat="1" ht="11.55" customHeight="1">
      <c r="A161" s="990"/>
      <c s="990"/>
      <c s="990"/>
      <c s="990"/>
      <c s="990"/>
      <c s="1639"/>
      <c s="1639"/>
      <c s="354"/>
      <c r="N161" s="1369"/>
      <c r="P161" s="1369"/>
      <c s="1639"/>
      <c s="1639"/>
      <c s="1369"/>
      <c s="1369"/>
      <c s="1369"/>
      <c s="1369"/>
      <c s="1639"/>
      <c s="1369"/>
      <c s="1369"/>
      <c s="547"/>
      <c s="1369"/>
      <c s="1369"/>
      <c s="1369"/>
      <c s="1369"/>
      <c s="1369"/>
      <c s="1635"/>
      <c s="625"/>
      <c s="625"/>
      <c s="625"/>
      <c s="625"/>
      <c s="1644">
        <v>11</v>
      </c>
    </row>
    <row r="162" spans="1:37" s="1644" customFormat="1" ht="11.55" customHeight="1">
      <c r="A162" s="990"/>
      <c s="990"/>
      <c s="990"/>
      <c s="990"/>
      <c s="990"/>
      <c s="1639"/>
      <c s="1639"/>
      <c s="354"/>
      <c r="N162" s="1369"/>
      <c r="P162" s="1369"/>
      <c s="1639"/>
      <c s="1639"/>
      <c s="1369"/>
      <c s="1369"/>
      <c s="1369"/>
      <c s="1369"/>
      <c s="1639"/>
      <c s="1369"/>
      <c s="1369"/>
      <c s="547"/>
      <c s="1369"/>
      <c s="1369"/>
      <c s="1369"/>
      <c s="1369"/>
      <c s="1369"/>
      <c s="1635"/>
      <c s="625"/>
      <c s="625"/>
      <c s="625"/>
      <c s="625"/>
      <c s="1644">
        <v>11</v>
      </c>
    </row>
    <row r="163" spans="1:37" s="1644" customFormat="1" ht="11.55" customHeight="1">
      <c r="A163" s="990"/>
      <c s="990"/>
      <c s="990"/>
      <c s="990"/>
      <c s="990"/>
      <c s="1639"/>
      <c s="1639"/>
      <c s="354"/>
      <c r="N163" s="1369"/>
      <c r="P163" s="1369"/>
      <c s="1639"/>
      <c s="1639"/>
      <c s="1369"/>
      <c s="1369"/>
      <c s="1369"/>
      <c s="1369"/>
      <c s="1639"/>
      <c s="1369"/>
      <c s="1369"/>
      <c s="547"/>
      <c s="1369"/>
      <c s="1369"/>
      <c s="1369"/>
      <c s="1369"/>
      <c s="1369"/>
      <c s="1635"/>
      <c s="625"/>
      <c s="625"/>
      <c s="625"/>
      <c s="625"/>
      <c s="1644">
        <v>11</v>
      </c>
    </row>
    <row r="164" spans="1:37" s="1644" customFormat="1" ht="11.55" customHeight="1">
      <c r="A164" s="990"/>
      <c s="990"/>
      <c s="990"/>
      <c s="990"/>
      <c s="990"/>
      <c s="1639"/>
      <c s="1639"/>
      <c s="354"/>
      <c r="N164" s="1369"/>
      <c r="P164" s="1369"/>
      <c s="1639"/>
      <c s="1639"/>
      <c s="1369"/>
      <c s="1369"/>
      <c s="1369"/>
      <c s="1369"/>
      <c s="1639"/>
      <c s="1369"/>
      <c s="1369"/>
      <c s="547"/>
      <c s="1369"/>
      <c s="1369"/>
      <c s="1369"/>
      <c s="1369"/>
      <c s="1369"/>
      <c s="1635"/>
      <c s="625"/>
      <c s="625"/>
      <c s="625"/>
      <c s="625"/>
      <c s="1644">
        <v>11</v>
      </c>
    </row>
    <row r="165" spans="1:37" s="1644" customFormat="1" ht="11.55" customHeight="1">
      <c r="A165" s="990"/>
      <c s="990"/>
      <c s="990"/>
      <c s="990"/>
      <c s="990"/>
      <c s="1639"/>
      <c s="1639"/>
      <c s="354"/>
      <c r="N165" s="1369"/>
      <c r="P165" s="1369"/>
      <c s="1639"/>
      <c s="1639"/>
      <c s="1369"/>
      <c s="1369"/>
      <c s="1369"/>
      <c s="1369"/>
      <c s="1639"/>
      <c s="1369"/>
      <c s="1369"/>
      <c s="547"/>
      <c s="1369"/>
      <c s="1369"/>
      <c s="1369"/>
      <c s="1369"/>
      <c s="1369"/>
      <c s="1635"/>
      <c s="625"/>
      <c s="625"/>
      <c s="625"/>
      <c s="625"/>
      <c s="1644">
        <v>11</v>
      </c>
    </row>
    <row r="166" spans="1:37" s="1644" customFormat="1" ht="11.55" customHeight="1">
      <c r="A166" s="990"/>
      <c s="990"/>
      <c s="990"/>
      <c s="990"/>
      <c s="990"/>
      <c s="1639"/>
      <c s="1639"/>
      <c s="354"/>
      <c r="N166" s="1369"/>
      <c r="P166" s="1369"/>
      <c s="1639"/>
      <c s="1639"/>
      <c s="1369"/>
      <c s="1369"/>
      <c s="1369"/>
      <c s="1369"/>
      <c s="1639"/>
      <c s="1369"/>
      <c s="1369"/>
      <c s="547"/>
      <c s="1369"/>
      <c s="1369"/>
      <c s="1369"/>
      <c s="1369"/>
      <c s="1369"/>
      <c s="1635"/>
      <c s="625"/>
      <c s="625"/>
      <c s="625"/>
      <c s="625"/>
      <c s="1644">
        <v>11</v>
      </c>
    </row>
    <row r="167" spans="1:37" s="1644" customFormat="1" ht="11.55" customHeight="1">
      <c r="A167" s="990"/>
      <c s="990"/>
      <c s="990"/>
      <c s="990"/>
      <c s="990"/>
      <c s="1639"/>
      <c s="1639"/>
      <c s="354"/>
      <c r="N167" s="1369"/>
      <c r="P167" s="1369"/>
      <c s="1639"/>
      <c s="1639"/>
      <c s="1369"/>
      <c s="1369"/>
      <c s="1369"/>
      <c s="1369"/>
      <c s="1639"/>
      <c s="1369"/>
      <c s="1369"/>
      <c s="547"/>
      <c s="1369"/>
      <c s="1369"/>
      <c s="1369"/>
      <c s="1369"/>
      <c s="1369"/>
      <c s="1635"/>
      <c s="625"/>
      <c s="625"/>
      <c s="625"/>
      <c s="625"/>
      <c s="1644">
        <v>11</v>
      </c>
    </row>
    <row r="168" spans="1:37" s="1644" customFormat="1" ht="11.55" customHeight="1">
      <c r="A168" s="990"/>
      <c s="990"/>
      <c s="990"/>
      <c s="990"/>
      <c s="990"/>
      <c s="1639"/>
      <c s="1639"/>
      <c s="354"/>
      <c r="N168" s="1369"/>
      <c r="P168" s="1369"/>
      <c s="1639"/>
      <c s="1639"/>
      <c s="1369"/>
      <c s="1369"/>
      <c s="1369"/>
      <c s="1369"/>
      <c s="1639"/>
      <c s="1369"/>
      <c s="1369"/>
      <c s="547"/>
      <c s="1369"/>
      <c s="1369"/>
      <c s="1369"/>
      <c s="1369"/>
      <c s="1369"/>
      <c s="1635"/>
      <c s="625"/>
      <c s="625"/>
      <c s="625"/>
      <c s="625"/>
      <c s="1644">
        <v>11</v>
      </c>
    </row>
    <row r="169" spans="1:37" s="1644" customFormat="1" ht="11.55" customHeight="1">
      <c r="A169" s="990"/>
      <c s="990"/>
      <c s="990"/>
      <c s="990"/>
      <c s="990"/>
      <c s="1639"/>
      <c s="1639"/>
      <c s="354"/>
      <c r="N169" s="1369"/>
      <c r="P169" s="1369"/>
      <c s="1639"/>
      <c s="1639"/>
      <c s="1369"/>
      <c s="1369"/>
      <c s="1369"/>
      <c s="1369"/>
      <c s="1639"/>
      <c s="1369"/>
      <c s="1369"/>
      <c s="547"/>
      <c s="1369"/>
      <c s="1369"/>
      <c s="1369"/>
      <c s="1369"/>
      <c s="1369"/>
      <c s="1635"/>
      <c s="625"/>
      <c s="625"/>
      <c s="625"/>
      <c s="625"/>
      <c s="1644">
        <v>11</v>
      </c>
    </row>
    <row r="170" spans="1:37" s="1644" customFormat="1" ht="11.55" customHeight="1">
      <c r="A170" s="990"/>
      <c s="990"/>
      <c s="990"/>
      <c s="990"/>
      <c s="990"/>
      <c s="1639"/>
      <c s="1639"/>
      <c s="354"/>
      <c r="N170" s="1369"/>
      <c r="P170" s="1369"/>
      <c s="1639"/>
      <c s="1639"/>
      <c s="1369"/>
      <c s="1369"/>
      <c s="1369"/>
      <c s="1369"/>
      <c s="1639"/>
      <c s="1369"/>
      <c s="1369"/>
      <c s="547"/>
      <c s="1369"/>
      <c s="1369"/>
      <c s="1369"/>
      <c s="1369"/>
      <c s="1369"/>
      <c s="1635"/>
      <c s="625"/>
      <c s="625"/>
      <c s="625"/>
      <c s="625"/>
      <c s="1644">
        <v>11</v>
      </c>
    </row>
    <row r="171" spans="1:37" s="1644" customFormat="1" ht="11.55" customHeight="1">
      <c r="A171" s="990"/>
      <c s="990"/>
      <c s="990"/>
      <c s="990"/>
      <c s="990"/>
      <c s="1639"/>
      <c s="1639"/>
      <c s="354"/>
      <c r="N171" s="1369"/>
      <c r="P171" s="1369"/>
      <c s="1639"/>
      <c s="1639"/>
      <c s="1369"/>
      <c s="1369"/>
      <c s="1369"/>
      <c s="1369"/>
      <c s="1639"/>
      <c s="1369"/>
      <c s="1369"/>
      <c s="547"/>
      <c s="1369"/>
      <c s="1369"/>
      <c s="1369"/>
      <c s="1369"/>
      <c s="1369"/>
      <c s="1635"/>
      <c s="625"/>
      <c s="625"/>
      <c s="625"/>
      <c s="625"/>
      <c s="1644">
        <v>11</v>
      </c>
    </row>
    <row r="172" spans="1:37" s="1644" customFormat="1" ht="11.55" customHeight="1">
      <c r="A172" s="990"/>
      <c s="990"/>
      <c s="990"/>
      <c s="990"/>
      <c s="990"/>
      <c s="1639"/>
      <c s="1639"/>
      <c s="354"/>
      <c r="N172" s="1369"/>
      <c r="P172" s="1369"/>
      <c s="1639"/>
      <c s="1639"/>
      <c s="1369"/>
      <c s="1369"/>
      <c s="1369"/>
      <c s="1369"/>
      <c s="1639"/>
      <c s="1369"/>
      <c s="1369"/>
      <c s="547"/>
      <c s="1369"/>
      <c s="1369"/>
      <c s="1369"/>
      <c s="1369"/>
      <c s="1369"/>
      <c s="1635"/>
      <c s="625"/>
      <c s="625"/>
      <c s="625"/>
      <c s="625"/>
      <c s="1644">
        <v>11</v>
      </c>
    </row>
    <row r="173" spans="1:37" s="1644" customFormat="1" ht="11.55" customHeight="1">
      <c r="A173" s="990"/>
      <c s="990"/>
      <c s="990"/>
      <c s="990"/>
      <c s="990"/>
      <c s="1639"/>
      <c s="1639"/>
      <c s="354"/>
      <c r="N173" s="1369"/>
      <c r="P173" s="1369"/>
      <c s="1639"/>
      <c s="1639"/>
      <c s="1369"/>
      <c s="1369"/>
      <c s="1369"/>
      <c s="1369"/>
      <c s="1639"/>
      <c s="1369"/>
      <c s="1369"/>
      <c s="547"/>
      <c s="1369"/>
      <c s="1369"/>
      <c s="1369"/>
      <c s="1369"/>
      <c s="1369"/>
      <c s="1635"/>
      <c s="625"/>
      <c s="625"/>
      <c s="625"/>
      <c s="625"/>
      <c s="1644">
        <v>11</v>
      </c>
    </row>
    <row r="174" spans="1:37" s="1644" customFormat="1" ht="11.55" customHeight="1">
      <c r="A174" s="990"/>
      <c s="990"/>
      <c s="990"/>
      <c s="990"/>
      <c s="990"/>
      <c s="1639"/>
      <c s="1639"/>
      <c s="354"/>
      <c r="N174" s="1369"/>
      <c r="P174" s="1369"/>
      <c s="1639"/>
      <c s="1639"/>
      <c s="1369"/>
      <c s="1369"/>
      <c s="1369"/>
      <c s="1369"/>
      <c s="1639"/>
      <c s="1369"/>
      <c s="1369"/>
      <c s="547"/>
      <c s="1369"/>
      <c s="1369"/>
      <c s="1369"/>
      <c s="1369"/>
      <c s="1369"/>
      <c s="1635"/>
      <c s="625"/>
      <c s="625"/>
      <c s="625"/>
      <c s="625"/>
      <c s="1644">
        <v>11</v>
      </c>
    </row>
    <row r="175" spans="1:37" s="1644" customFormat="1" ht="11.55" customHeight="1">
      <c r="A175" s="990"/>
      <c s="990"/>
      <c s="990"/>
      <c s="990"/>
      <c s="990"/>
      <c s="1639"/>
      <c s="1639"/>
      <c s="354"/>
      <c r="N175" s="1369"/>
      <c r="P175" s="1369"/>
      <c s="1639"/>
      <c s="1639"/>
      <c s="1369"/>
      <c s="1369"/>
      <c s="1369"/>
      <c s="1369"/>
      <c s="1639"/>
      <c s="1369"/>
      <c s="1369"/>
      <c s="547"/>
      <c s="1369"/>
      <c s="1369"/>
      <c s="1369"/>
      <c s="1369"/>
      <c s="1369"/>
      <c s="1635"/>
      <c s="625"/>
      <c s="625"/>
      <c s="625"/>
      <c s="625"/>
      <c s="1644">
        <v>11</v>
      </c>
    </row>
    <row r="176" spans="1:37" s="1644" customFormat="1" ht="11.55" customHeight="1">
      <c r="A176" s="990"/>
      <c s="990"/>
      <c s="990"/>
      <c s="990"/>
      <c s="990"/>
      <c s="1639"/>
      <c s="1639"/>
      <c s="354"/>
      <c r="N176" s="1369"/>
      <c r="P176" s="1369"/>
      <c s="1639"/>
      <c s="1639"/>
      <c s="1369"/>
      <c s="1369"/>
      <c s="1369"/>
      <c s="1369"/>
      <c s="1639"/>
      <c s="1369"/>
      <c s="1369"/>
      <c s="547"/>
      <c s="1369"/>
      <c s="1369"/>
      <c s="1369"/>
      <c s="1369"/>
      <c s="1369"/>
      <c s="1635"/>
      <c s="625"/>
      <c s="625"/>
      <c s="625"/>
      <c s="625"/>
      <c s="1644">
        <v>11</v>
      </c>
    </row>
    <row r="177" spans="1:37" s="1644" customFormat="1" ht="11.55" customHeight="1">
      <c r="A177" s="990"/>
      <c s="990"/>
      <c s="990"/>
      <c s="990"/>
      <c s="990"/>
      <c s="1639"/>
      <c s="1639"/>
      <c s="354"/>
      <c r="N177" s="1369"/>
      <c r="P177" s="1369"/>
      <c s="1639"/>
      <c s="1639"/>
      <c s="1369"/>
      <c s="1369"/>
      <c s="1369"/>
      <c s="1369"/>
      <c s="1639"/>
      <c s="1369"/>
      <c s="1369"/>
      <c s="547"/>
      <c s="1369"/>
      <c s="1369"/>
      <c s="1369"/>
      <c s="1369"/>
      <c s="1369"/>
      <c s="1635"/>
      <c s="625"/>
      <c s="625"/>
      <c s="625"/>
      <c s="625"/>
      <c s="1644">
        <v>11</v>
      </c>
    </row>
    <row r="178" spans="1:37" s="1644" customFormat="1" ht="11.55" customHeight="1">
      <c r="A178" s="990"/>
      <c s="990"/>
      <c s="990"/>
      <c s="990"/>
      <c s="990"/>
      <c s="1639"/>
      <c s="1639"/>
      <c s="354"/>
      <c r="N178" s="1369"/>
      <c r="P178" s="1369"/>
      <c s="1639"/>
      <c s="1639"/>
      <c s="1369"/>
      <c s="1369"/>
      <c s="1369"/>
      <c s="1369"/>
      <c s="1639"/>
      <c s="1369"/>
      <c s="1369"/>
      <c s="547"/>
      <c s="1369"/>
      <c s="1369"/>
      <c s="1369"/>
      <c s="1369"/>
      <c s="1369"/>
      <c s="1635"/>
      <c s="625"/>
      <c s="625"/>
      <c s="625"/>
      <c s="625"/>
      <c s="1644">
        <v>11</v>
      </c>
    </row>
    <row r="179" spans="1:37" s="1644" customFormat="1" ht="11.55" customHeight="1">
      <c r="A179" s="990"/>
      <c s="990"/>
      <c s="990"/>
      <c s="990"/>
      <c s="990"/>
      <c s="1639"/>
      <c s="1639"/>
      <c s="354"/>
      <c r="N179" s="1369"/>
      <c r="P179" s="1369"/>
      <c s="1639"/>
      <c s="1639"/>
      <c s="1369"/>
      <c s="1369"/>
      <c s="1369"/>
      <c s="1369"/>
      <c s="1639"/>
      <c s="1369"/>
      <c s="1369"/>
      <c s="547"/>
      <c s="1369"/>
      <c s="1369"/>
      <c s="1369"/>
      <c s="1369"/>
      <c s="1369"/>
      <c s="1635"/>
      <c s="625"/>
      <c s="625"/>
      <c s="625"/>
      <c s="625"/>
      <c s="1644">
        <v>11</v>
      </c>
    </row>
    <row r="180" spans="1:37" s="1644" customFormat="1" ht="11.55" customHeight="1">
      <c r="A180" s="990"/>
      <c s="990"/>
      <c s="990"/>
      <c s="990"/>
      <c s="990"/>
      <c s="1639"/>
      <c s="1639"/>
      <c s="354"/>
      <c r="N180" s="1369"/>
      <c r="P180" s="1369"/>
      <c s="1639"/>
      <c s="1639"/>
      <c s="1369"/>
      <c s="1369"/>
      <c s="1369"/>
      <c s="1369"/>
      <c s="1639"/>
      <c s="1369"/>
      <c s="1369"/>
      <c s="547"/>
      <c s="1369"/>
      <c s="1369"/>
      <c s="1369"/>
      <c s="1369"/>
      <c s="1369"/>
      <c s="1635"/>
      <c s="625"/>
      <c s="625"/>
      <c s="625"/>
      <c s="625"/>
      <c s="1644">
        <v>11</v>
      </c>
    </row>
    <row r="181" spans="1:37" s="1644" customFormat="1" ht="11.55" customHeight="1">
      <c r="A181" s="990"/>
      <c s="990"/>
      <c s="990"/>
      <c s="990"/>
      <c s="990"/>
      <c s="1639"/>
      <c s="1639"/>
      <c s="354"/>
      <c r="N181" s="1369"/>
      <c r="P181" s="1369"/>
      <c s="1639"/>
      <c s="1639"/>
      <c s="1369"/>
      <c s="1369"/>
      <c s="1369"/>
      <c s="1369"/>
      <c s="1639"/>
      <c s="1369"/>
      <c s="1369"/>
      <c s="547"/>
      <c s="1369"/>
      <c s="1369"/>
      <c s="1369"/>
      <c s="1369"/>
      <c s="1369"/>
      <c s="1635"/>
      <c s="625"/>
      <c s="625"/>
      <c s="625"/>
      <c s="625"/>
      <c s="1644">
        <v>11</v>
      </c>
    </row>
    <row r="182" spans="1:37" s="1644" customFormat="1" ht="11.55" customHeight="1">
      <c r="A182" s="990"/>
      <c s="990"/>
      <c s="990"/>
      <c s="990"/>
      <c s="990"/>
      <c s="1639"/>
      <c s="1639"/>
      <c s="354"/>
      <c r="N182" s="1369"/>
      <c r="P182" s="1369"/>
      <c s="1639"/>
      <c s="1639"/>
      <c s="1369"/>
      <c s="1369"/>
      <c s="1369"/>
      <c s="1369"/>
      <c s="1639"/>
      <c s="1369"/>
      <c s="1369"/>
      <c s="547"/>
      <c s="1369"/>
      <c s="1369"/>
      <c s="1369"/>
      <c s="1369"/>
      <c s="1369"/>
      <c s="1635"/>
      <c s="625"/>
      <c s="625"/>
      <c s="625"/>
      <c s="625"/>
      <c s="1644">
        <v>11</v>
      </c>
    </row>
    <row r="183" spans="1:37" s="1644" customFormat="1" ht="11.55" customHeight="1">
      <c r="A183" s="990"/>
      <c s="990"/>
      <c s="990"/>
      <c s="990"/>
      <c s="990"/>
      <c s="1639"/>
      <c s="1639"/>
      <c s="354"/>
      <c r="N183" s="1369"/>
      <c r="P183" s="1369"/>
      <c s="1639"/>
      <c s="1639"/>
      <c s="1369"/>
      <c s="1369"/>
      <c s="1369"/>
      <c s="1369"/>
      <c s="1639"/>
      <c s="1369"/>
      <c s="1369"/>
      <c s="547"/>
      <c s="1369"/>
      <c s="1369"/>
      <c s="1369"/>
      <c s="1369"/>
      <c s="1369"/>
      <c s="1635"/>
      <c s="625"/>
      <c s="625"/>
      <c s="625"/>
      <c s="625"/>
      <c s="1644">
        <v>11</v>
      </c>
    </row>
    <row r="184" spans="1:37" s="1644" customFormat="1" ht="11.55" customHeight="1">
      <c r="A184" s="990"/>
      <c s="990"/>
      <c s="990"/>
      <c s="990"/>
      <c s="990"/>
      <c s="1639"/>
      <c s="1639"/>
      <c s="354"/>
      <c r="N184" s="1369"/>
      <c r="P184" s="1369"/>
      <c s="1639"/>
      <c s="1639"/>
      <c s="1369"/>
      <c s="1369"/>
      <c s="1369"/>
      <c s="1369"/>
      <c s="1639"/>
      <c s="1369"/>
      <c s="1369"/>
      <c s="547"/>
      <c s="1369"/>
      <c s="1369"/>
      <c s="1369"/>
      <c s="1369"/>
      <c s="1369"/>
      <c s="1635"/>
      <c s="625"/>
      <c s="625"/>
      <c s="625"/>
      <c s="625"/>
      <c s="1644">
        <v>11</v>
      </c>
    </row>
    <row r="185" spans="1:37" s="1644" customFormat="1" ht="11.55" customHeight="1">
      <c r="A185" s="990"/>
      <c s="990"/>
      <c s="990"/>
      <c s="990"/>
      <c s="990"/>
      <c s="1639"/>
      <c s="1639"/>
      <c s="354"/>
      <c r="N185" s="1369"/>
      <c r="P185" s="1369"/>
      <c s="1639"/>
      <c s="1639"/>
      <c s="1369"/>
      <c s="1369"/>
      <c s="1369"/>
      <c s="1369"/>
      <c s="1639"/>
      <c s="1369"/>
      <c s="1369"/>
      <c s="547"/>
      <c s="1369"/>
      <c s="1369"/>
      <c s="1369"/>
      <c s="1369"/>
      <c s="1369"/>
      <c s="1635"/>
      <c s="625"/>
      <c s="625"/>
      <c s="625"/>
      <c s="625"/>
      <c s="1644">
        <v>11</v>
      </c>
    </row>
    <row r="186" spans="1:37" s="1644" customFormat="1" ht="11.55" customHeight="1">
      <c r="A186" s="990"/>
      <c s="990"/>
      <c s="990"/>
      <c s="990"/>
      <c s="990"/>
      <c s="1639"/>
      <c s="1639"/>
      <c s="354"/>
      <c r="N186" s="1369"/>
      <c r="P186" s="1369"/>
      <c s="1639"/>
      <c s="1639"/>
      <c s="1369"/>
      <c s="1369"/>
      <c s="1369"/>
      <c s="1369"/>
      <c s="1639"/>
      <c s="1369"/>
      <c s="1369"/>
      <c s="547"/>
      <c s="1369"/>
      <c s="1369"/>
      <c s="1369"/>
      <c s="1369"/>
      <c s="1369"/>
      <c s="1635"/>
      <c s="625"/>
      <c s="625"/>
      <c s="625"/>
      <c s="625"/>
      <c s="1644">
        <v>11</v>
      </c>
    </row>
    <row r="187" spans="1:37" s="1644" customFormat="1" ht="11.55" customHeight="1">
      <c r="A187" s="990"/>
      <c s="990"/>
      <c s="990"/>
      <c s="990"/>
      <c s="990"/>
      <c s="1639"/>
      <c s="1639"/>
      <c s="354"/>
      <c r="N187" s="1369"/>
      <c r="P187" s="1369"/>
      <c s="1639"/>
      <c s="1639"/>
      <c s="1369"/>
      <c s="1369"/>
      <c s="1369"/>
      <c s="1369"/>
      <c s="1639"/>
      <c s="1369"/>
      <c s="1369"/>
      <c s="547"/>
      <c s="1369"/>
      <c s="1369"/>
      <c s="1369"/>
      <c s="1369"/>
      <c s="1369"/>
      <c s="1635"/>
      <c s="625"/>
      <c s="625"/>
      <c s="625"/>
      <c s="625"/>
      <c s="1644">
        <v>11</v>
      </c>
    </row>
    <row r="188" spans="1:37" s="1644" customFormat="1" ht="11.55" customHeight="1">
      <c r="A188" s="990"/>
      <c s="990"/>
      <c s="990"/>
      <c s="990"/>
      <c s="990"/>
      <c s="1639"/>
      <c s="1639"/>
      <c s="354"/>
      <c r="N188" s="1369"/>
      <c r="P188" s="1369"/>
      <c s="1639"/>
      <c s="1639"/>
      <c s="1369"/>
      <c s="1369"/>
      <c s="1369"/>
      <c s="1369"/>
      <c s="1639"/>
      <c s="1369"/>
      <c s="1369"/>
      <c s="547"/>
      <c s="1369"/>
      <c s="1369"/>
      <c s="1369"/>
      <c s="1369"/>
      <c s="1369"/>
      <c s="1635"/>
      <c s="625"/>
      <c s="625"/>
      <c s="625"/>
      <c s="625"/>
      <c s="1644">
        <v>11</v>
      </c>
    </row>
    <row r="189" spans="1:37" s="1644" customFormat="1" ht="11.55" customHeight="1">
      <c r="A189" s="990"/>
      <c s="990"/>
      <c s="990"/>
      <c s="990"/>
      <c s="990"/>
      <c s="1639"/>
      <c s="1639"/>
      <c s="354"/>
      <c r="N189" s="1369"/>
      <c r="P189" s="1369"/>
      <c s="1639"/>
      <c s="1639"/>
      <c s="1369"/>
      <c s="1369"/>
      <c s="1369"/>
      <c s="1369"/>
      <c s="1639"/>
      <c s="1369"/>
      <c s="1369"/>
      <c s="547"/>
      <c s="1369"/>
      <c s="1369"/>
      <c s="1369"/>
      <c s="1369"/>
      <c s="1369"/>
      <c s="1635"/>
      <c s="625"/>
      <c s="625"/>
      <c s="625"/>
      <c s="625"/>
      <c s="1644">
        <v>11</v>
      </c>
    </row>
    <row r="190" spans="37:37" ht="11.55" customHeight="1">
      <c r="AK190" s="1634">
        <v>11</v>
      </c>
    </row>
    <row r="191" spans="37:37" ht="11.55" customHeight="1">
      <c r="AK191" s="1634">
        <v>11</v>
      </c>
    </row>
    <row r="192" spans="37:37" ht="11.55" customHeight="1">
      <c r="AK192" s="1634">
        <v>11</v>
      </c>
    </row>
    <row r="193" spans="1:37" ht="11.55" customHeight="1">
      <c r="A193" s="993"/>
      <c s="993"/>
      <c s="993"/>
      <c s="993"/>
      <c s="993"/>
      <c s="1634"/>
      <c r="H193" s="1634"/>
      <c r="N193" s="1634"/>
      <c r="P193" s="1634"/>
      <c r="S193" s="1634"/>
      <c s="1634"/>
      <c s="1634"/>
      <c s="1634"/>
      <c r="X193" s="1634"/>
      <c s="1634"/>
      <c s="1634"/>
      <c s="1634"/>
      <c s="1634"/>
      <c s="1634"/>
      <c s="1634"/>
      <c s="1634"/>
      <c s="1634"/>
      <c s="1634"/>
      <c s="1634"/>
      <c s="1634"/>
      <c s="1634"/>
      <c s="1634">
        <v>11</v>
      </c>
    </row>
    <row r="194" spans="1:37" ht="11.55" customHeight="1">
      <c r="A194" s="993"/>
      <c s="993"/>
      <c s="993"/>
      <c s="993"/>
      <c s="993"/>
      <c s="1634"/>
      <c r="H194" s="1634"/>
      <c r="N194" s="1634"/>
      <c r="P194" s="1634"/>
      <c r="S194" s="1634"/>
      <c s="1634"/>
      <c s="1634"/>
      <c s="1634"/>
      <c r="X194" s="1634"/>
      <c s="1634"/>
      <c s="1634"/>
      <c s="1634"/>
      <c s="1634"/>
      <c s="1634"/>
      <c s="1634"/>
      <c s="1634"/>
      <c s="1634"/>
      <c s="1634"/>
      <c s="1634"/>
      <c s="1634"/>
      <c s="1634"/>
      <c s="1634">
        <v>11</v>
      </c>
    </row>
    <row r="195" spans="1:37" ht="11.55" customHeight="1">
      <c r="A195" s="993"/>
      <c s="993"/>
      <c s="993"/>
      <c s="993"/>
      <c s="993"/>
      <c s="1634"/>
      <c r="H195" s="1634"/>
      <c r="N195" s="1634"/>
      <c r="P195" s="1634"/>
      <c r="S195" s="1634"/>
      <c s="1634"/>
      <c s="1634"/>
      <c s="1634"/>
      <c r="X195" s="1634"/>
      <c s="1634"/>
      <c s="1634"/>
      <c s="1634"/>
      <c s="1634"/>
      <c s="1634"/>
      <c s="1634"/>
      <c s="1634"/>
      <c s="1634"/>
      <c s="1634"/>
      <c s="1634"/>
      <c s="1634"/>
      <c s="1634"/>
      <c s="1634">
        <v>11</v>
      </c>
    </row>
    <row r="196" spans="1:37" ht="11.55" customHeight="1">
      <c r="A196" s="993"/>
      <c s="993"/>
      <c s="993"/>
      <c s="993"/>
      <c s="993"/>
      <c s="1634"/>
      <c r="H196" s="1634"/>
      <c r="N196" s="1634"/>
      <c r="P196" s="1634"/>
      <c r="S196" s="1634"/>
      <c s="1634"/>
      <c s="1634"/>
      <c s="1634"/>
      <c r="X196" s="1634"/>
      <c s="1634"/>
      <c s="1634"/>
      <c s="1634"/>
      <c s="1634"/>
      <c s="1634"/>
      <c s="1634"/>
      <c s="1634"/>
      <c s="1634"/>
      <c s="1634"/>
      <c s="1634"/>
      <c s="1634"/>
      <c s="1634"/>
      <c s="1634">
        <v>11</v>
      </c>
    </row>
    <row r="197" spans="1:37" ht="11.55" customHeight="1">
      <c r="A197" s="993"/>
      <c s="993"/>
      <c s="993"/>
      <c s="993"/>
      <c s="993"/>
      <c s="1634"/>
      <c r="H197" s="1634"/>
      <c r="N197" s="1634"/>
      <c r="P197" s="1634"/>
      <c r="S197" s="1634"/>
      <c s="1634"/>
      <c s="1634"/>
      <c s="1634"/>
      <c r="X197" s="1634"/>
      <c s="1634"/>
      <c s="1634"/>
      <c s="1634"/>
      <c s="1634"/>
      <c s="1634"/>
      <c s="1634"/>
      <c s="1634"/>
      <c s="1634"/>
      <c s="1634"/>
      <c s="1634"/>
      <c s="1634"/>
      <c s="1634"/>
      <c s="1634">
        <v>11</v>
      </c>
    </row>
    <row r="198" spans="1:37" ht="11.55" customHeight="1">
      <c r="A198" s="993"/>
      <c s="993"/>
      <c s="993"/>
      <c s="993"/>
      <c s="993"/>
      <c s="1634"/>
      <c r="H198" s="1634"/>
      <c r="N198" s="1634"/>
      <c r="P198" s="1634"/>
      <c r="S198" s="1634"/>
      <c s="1634"/>
      <c s="1634"/>
      <c s="1634"/>
      <c r="X198" s="1634"/>
      <c s="1634"/>
      <c s="1634"/>
      <c s="1634"/>
      <c s="1634"/>
      <c s="1634"/>
      <c s="1634"/>
      <c s="1634"/>
      <c s="1634"/>
      <c s="1634"/>
      <c s="1634"/>
      <c s="1634"/>
      <c s="1634"/>
      <c s="1634">
        <v>11</v>
      </c>
    </row>
    <row r="199" spans="1:37" ht="11.55" customHeight="1">
      <c r="A199" s="993"/>
      <c s="993"/>
      <c s="993"/>
      <c s="993"/>
      <c s="993"/>
      <c s="1634"/>
      <c r="H199" s="1634"/>
      <c r="N199" s="1634"/>
      <c r="P199" s="1634"/>
      <c r="S199" s="1634"/>
      <c s="1634"/>
      <c s="1634"/>
      <c s="1634"/>
      <c r="X199" s="1634"/>
      <c s="1634"/>
      <c s="1634"/>
      <c s="1634"/>
      <c s="1634"/>
      <c s="1634"/>
      <c s="1634"/>
      <c s="1634"/>
      <c s="1634"/>
      <c s="1634"/>
      <c s="1634"/>
      <c s="1634"/>
      <c s="1634"/>
      <c s="1634">
        <v>11</v>
      </c>
    </row>
    <row r="200" spans="1:37" ht="11.55" customHeight="1">
      <c r="A200" s="993"/>
      <c s="993"/>
      <c s="993"/>
      <c s="993"/>
      <c s="993"/>
      <c s="1634"/>
      <c r="H200" s="1634"/>
      <c r="N200" s="1634"/>
      <c r="P200" s="1634"/>
      <c r="S200" s="1634"/>
      <c s="1634"/>
      <c s="1634"/>
      <c s="1634"/>
      <c r="X200" s="1634"/>
      <c s="1634"/>
      <c s="1634"/>
      <c s="1634"/>
      <c s="1634"/>
      <c s="1634"/>
      <c s="1634"/>
      <c s="1634"/>
      <c s="1634"/>
      <c s="1634"/>
      <c s="1634"/>
      <c s="1634"/>
      <c s="1634"/>
      <c s="1634">
        <v>11</v>
      </c>
    </row>
    <row r="201" spans="1:37" ht="11.55" customHeight="1">
      <c r="A201" s="993"/>
      <c s="993"/>
      <c s="993"/>
      <c s="993"/>
      <c s="993"/>
      <c s="1634"/>
      <c r="H201" s="1634"/>
      <c r="N201" s="1634"/>
      <c r="P201" s="1634"/>
      <c r="S201" s="1634"/>
      <c s="1634"/>
      <c s="1634"/>
      <c s="1634"/>
      <c r="X201" s="1634"/>
      <c s="1634"/>
      <c s="1634"/>
      <c s="1634"/>
      <c s="1634"/>
      <c s="1634"/>
      <c s="1634"/>
      <c s="1634"/>
      <c s="1634"/>
      <c s="1634"/>
      <c s="1634"/>
      <c s="1634"/>
      <c s="1634"/>
      <c s="1634">
        <v>11</v>
      </c>
    </row>
    <row r="202" spans="1:37" ht="11.55" customHeight="1">
      <c r="A202" s="993"/>
      <c s="993"/>
      <c s="993"/>
      <c s="993"/>
      <c s="993"/>
      <c s="1634"/>
      <c r="H202" s="1634"/>
      <c r="N202" s="1634"/>
      <c r="P202" s="1634"/>
      <c r="S202" s="1634"/>
      <c s="1634"/>
      <c s="1634"/>
      <c s="1634"/>
      <c r="X202" s="1634"/>
      <c s="1634"/>
      <c s="1634"/>
      <c s="1634"/>
      <c s="1634"/>
      <c s="1634"/>
      <c s="1634"/>
      <c s="1634"/>
      <c s="1634"/>
      <c s="1634"/>
      <c s="1634"/>
      <c s="1634"/>
      <c s="1634"/>
      <c s="1634">
        <v>11</v>
      </c>
    </row>
    <row r="203" spans="1:37" ht="11.55" customHeight="1">
      <c r="A203" s="993"/>
      <c s="993"/>
      <c s="993"/>
      <c s="993"/>
      <c s="993"/>
      <c s="1634"/>
      <c r="H203" s="1634"/>
      <c r="N203" s="1634"/>
      <c r="P203" s="1634"/>
      <c r="S203" s="1634"/>
      <c s="1634"/>
      <c s="1634"/>
      <c s="1634"/>
      <c r="X203" s="1634"/>
      <c s="1634"/>
      <c s="1634"/>
      <c s="1634"/>
      <c s="1634"/>
      <c s="1634"/>
      <c s="1634"/>
      <c s="1634"/>
      <c s="1634"/>
      <c s="1634"/>
      <c s="1634"/>
      <c s="1634"/>
      <c s="1634"/>
      <c s="1634">
        <v>11</v>
      </c>
    </row>
    <row r="204" spans="1:37" ht="12.75" customHeight="1" hidden="1">
      <c r="A204" s="990" t="s">
        <v>81</v>
      </c>
      <c s="990" t="s">
        <v>151</v>
      </c>
      <c s="990" t="s">
        <v>151</v>
      </c>
      <c s="990" t="s">
        <v>151</v>
      </c>
      <c s="990" t="s">
        <v>151</v>
      </c>
      <c s="1638">
        <v>16</v>
      </c>
      <c s="1639">
        <v>0</v>
      </c>
      <c s="1638">
        <v>3</v>
      </c>
      <c s="1634">
        <v>7</v>
      </c>
      <c s="1634">
        <v>56</v>
      </c>
      <c s="1634">
        <v>10</v>
      </c>
      <c s="1634">
        <v>40</v>
      </c>
      <c s="1634">
        <v>40</v>
      </c>
      <c s="1369">
        <v>9</v>
      </c>
      <c s="1634">
        <v>102</v>
      </c>
      <c s="1369">
        <v>9</v>
      </c>
      <c s="1639">
        <v>5</v>
      </c>
      <c s="1639">
        <v>3</v>
      </c>
      <c s="1369">
        <v>3</v>
      </c>
      <c s="1369">
        <v>3</v>
      </c>
      <c s="1369">
        <v>3</v>
      </c>
      <c s="1369">
        <v>3</v>
      </c>
      <c s="1639">
        <v>10</v>
      </c>
      <c s="1369">
        <v>34</v>
      </c>
      <c s="1369">
        <v>9</v>
      </c>
      <c s="547">
        <v>8</v>
      </c>
      <c s="1369">
        <v>8</v>
      </c>
      <c s="1369">
        <v>8</v>
      </c>
      <c s="1369">
        <v>8</v>
      </c>
      <c s="1369">
        <v>8</v>
      </c>
      <c s="1369">
        <v>8</v>
      </c>
      <c s="1635">
        <v>8</v>
      </c>
      <c s="1635">
        <v>8</v>
      </c>
      <c s="1635">
        <v>8</v>
      </c>
      <c s="1635">
        <v>8</v>
      </c>
      <c s="1635">
        <v>8</v>
      </c>
      <c s="1634">
        <v>11</v>
      </c>
    </row>
  </sheetData>
  <sheetProtection insertRows="0" deleteColumns="0" deleteRows="0" sort="0" autoFilter="0"/>
  <mergeCells count="7">
    <mergeCell ref="I6:M6"/>
    <mergeCell ref="I7:M7"/>
    <mergeCell ref="J10:K10"/>
    <mergeCell ref="O10:O14"/>
    <mergeCell ref="J11:K11"/>
    <mergeCell ref="J12:K12"/>
    <mergeCell ref="I13:K13"/>
  </mergeCells>
  <dataValidations count="4">
    <dataValidation type="textLength" operator="lessThanOrEqual" allowBlank="1" showInputMessage="1" showErrorMessage="1" prompt="Введите ссылку на обосновывающие материалы, загруженные с помощью &quot;ЕИАС Web&quot;." errorTitle="Ошибка" error="Допускается ввод не более 900 символов!" sqref="L15:M15 L34:M34">
      <formula1>900</formula1>
    </dataValidation>
    <dataValidation type="whole" allowBlank="1" showErrorMessage="1" errorTitle="Ошибка" error="Допускается ввод только неотрицательных целых чисел!" sqref="L30:M31">
      <formula1>0</formula1>
      <formula2>9.99999999999999E+23</formula2>
    </dataValidation>
    <dataValidation type="textLength" operator="lessThanOrEqual" allowBlank="1" showInputMessage="1" showErrorMessage="1" prompt="Введите наименование прочих расходов" errorTitle="Ошибка" error="Допускается ввод не более 900 символов!" sqref="L17:M17">
      <formula1>900</formula1>
    </dataValidation>
    <dataValidation type="decimal" allowBlank="1" showErrorMessage="1" errorTitle="Ошибка" error="Допускается ввод только неотрицательных чисел!" sqref="L2:M2 L32:M33 L19:M29 L16:M16">
      <formula1>0</formula1>
      <formula2>9.99999999999999E+23</formula2>
    </dataValidation>
  </dataValidations>
  <pageMargins left="0.7" right="0.7" top="0.75" bottom="0.75" header="0.3" footer="0.3"/>
  <pageSetup orientation="portrait" paperSize="9"/>
  <drawing r:id="rId1"/>
</worksheet>
</file>

<file path=xl/worksheets/sheet3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m="http://schemas.microsoft.com/office/excel/2006/main" xmlns:x14ac="http://schemas.microsoft.com/office/spreadsheetml/2009/9/ac" xmlns:xr="http://schemas.microsoft.com/office/spreadsheetml/2014/revision" xmlns:xr2="http://schemas.microsoft.com/office/spreadsheetml/2015/revision2" xmlns:xr3="http://schemas.microsoft.com/office/spreadsheetml/2016/revision3" xr:uid="{4D5A6AEF-5F44-BEFF-ECC6-5DA40C50EBB6}" mc:Ignorable="x14ac xr xr2 xr3">
  <sheetPr>
    <tabColor theme="9" tint="-0.249980002641678"/>
  </sheetPr>
  <dimension ref="A1:W16"/>
  <sheetViews>
    <sheetView showGridLines="0" zoomScale="90" zoomScaleNormal="90" workbookViewId="0" topLeftCell="A1">
      <pane xSplit="11" ySplit="9" topLeftCell="L10" activePane="bottomRight" state="frozen"/>
      <selection pane="topLeft" activeCell="A1" sqref="A1"/>
      <selection pane="bottomLeft" activeCell="A10" sqref="A10"/>
      <selection pane="topRight" activeCell="L1" sqref="L1"/>
      <selection pane="bottomRight" activeCell="A1" sqref="A1"/>
    </sheetView>
  </sheetViews>
  <sheetFormatPr defaultColWidth="10.5742857142857" defaultRowHeight="14.25" customHeight="1"/>
  <cols>
    <col min="1" max="4" width="10.5714285714286" style="1638" hidden="1"/>
    <col min="5" max="5" width="9.14285714285714" style="2400" hidden="1" customWidth="1"/>
    <col min="6" max="7" width="9.14285714285714" style="1369" hidden="1" customWidth="1"/>
    <col min="8" max="8" width="3" style="347" customWidth="1"/>
    <col min="9" max="9" width="6" style="1638" customWidth="1"/>
    <col min="10" max="10" width="63" style="1638" customWidth="1"/>
    <col min="11" max="11" width="9" style="1638" customWidth="1"/>
    <col min="12" max="12" width="39" style="1638" customWidth="1"/>
    <col min="13" max="13" width="89" style="1638" customWidth="1"/>
    <col min="14" max="14" width="10" style="1638" customWidth="1"/>
    <col min="15" max="16" width="10" style="1627" customWidth="1"/>
    <col min="17" max="22" width="10" style="1638" customWidth="1"/>
    <col min="23" max="23" width="10.5714285714286" style="1638" hidden="1"/>
  </cols>
  <sheetData>
    <row r="1" spans="19:23" ht="22.5" customHeight="1" hidden="1">
      <c r="S1" s="258"/>
      <c s="258"/>
      <c r="V1" s="258"/>
      <c s="1634" t="s">
        <v>14</v>
      </c>
    </row>
    <row r="2" spans="2:23" ht="22.5" customHeight="1" hidden="1">
      <c r="B2" s="2056" t="s">
        <v>687</v>
      </c>
      <c s="2056" t="s">
        <v>688</v>
      </c>
      <c s="2055" t="s">
        <v>627</v>
      </c>
      <c s="2061">
        <f>I2-3</f>
        <v>-3</v>
      </c>
      <c s="2061">
        <f>J2</f>
        <v>0</v>
      </c>
      <c r="H2" s="1733" t="s">
        <v>689</v>
      </c>
      <c s="2027"/>
      <c s="1685"/>
      <c s="2021" t="s">
        <v>306</v>
      </c>
      <c s="1167"/>
      <c s="300"/>
      <c s="1627"/>
      <c r="P2" s="1634"/>
      <c r="W2" s="1634">
        <v>0</v>
      </c>
    </row>
    <row r="3" spans="23:23" ht="14.25" customHeight="1" hidden="1">
      <c r="W3" s="1634">
        <v>0</v>
      </c>
    </row>
    <row r="4" spans="8:23" ht="6.3" customHeight="1">
      <c r="H4" s="379"/>
      <c s="460"/>
      <c s="460"/>
      <c s="460"/>
      <c s="88"/>
      <c s="88"/>
      <c r="W4" s="1634">
        <v>6</v>
      </c>
    </row>
    <row r="5" spans="8:23" ht="50.25" customHeight="1">
      <c r="H5" s="379"/>
      <c s="2251" t="s">
        <v>690</v>
      </c>
      <c s="2251"/>
      <c s="2251"/>
      <c s="2251"/>
      <c s="269"/>
      <c r="W5" s="1634">
        <v>48</v>
      </c>
    </row>
    <row r="6" spans="8:23" ht="18" customHeight="1">
      <c r="H6" s="379"/>
      <c s="2252" t="str">
        <f>IF(org=0,"Не определено",org)</f>
        <v>ГУП КК "Кубаньводкомплекс"</v>
      </c>
      <c s="2252"/>
      <c s="2252"/>
      <c s="2252"/>
      <c s="269"/>
      <c r="W6" s="1634">
        <v>17</v>
      </c>
    </row>
    <row r="7" spans="8:23" ht="14.7" customHeight="1">
      <c r="H7" s="379"/>
      <c s="460"/>
      <c s="466"/>
      <c s="466"/>
      <c s="755"/>
      <c s="196"/>
      <c r="W7" s="1634">
        <v>14</v>
      </c>
    </row>
    <row r="8" spans="8:23" ht="14.7" customHeight="1">
      <c r="H8" s="379"/>
      <c s="2389" t="s">
        <v>300</v>
      </c>
      <c s="2390"/>
      <c s="2390"/>
      <c s="2391"/>
      <c s="2392" t="s">
        <v>301</v>
      </c>
      <c r="W8" s="1634">
        <v>14</v>
      </c>
    </row>
    <row r="9" spans="5:23" ht="35.7" customHeight="1">
      <c r="E9" s="2054" t="s">
        <v>618</v>
      </c>
      <c s="2054" t="s">
        <v>624</v>
      </c>
      <c r="H9" s="379"/>
      <c s="2028" t="s">
        <v>87</v>
      </c>
      <c s="2029" t="s">
        <v>302</v>
      </c>
      <c s="2067" t="s">
        <v>566</v>
      </c>
      <c s="2068" t="s">
        <v>303</v>
      </c>
      <c s="2392"/>
      <c r="W9" s="1634">
        <v>34</v>
      </c>
    </row>
    <row r="10" spans="2:23" ht="35.7" customHeight="1">
      <c r="B10" s="2056" t="s">
        <v>691</v>
      </c>
      <c s="2056" t="s">
        <v>692</v>
      </c>
      <c s="2055" t="s">
        <v>627</v>
      </c>
      <c s="2059" t="s">
        <v>628</v>
      </c>
      <c s="2059" t="s">
        <v>628</v>
      </c>
      <c r="H10" s="379"/>
      <c s="2027" t="s">
        <v>109</v>
      </c>
      <c s="1889" t="s">
        <v>693</v>
      </c>
      <c s="2021" t="s">
        <v>306</v>
      </c>
      <c s="821"/>
      <c s="300" t="s">
        <v>694</v>
      </c>
      <c r="W10" s="1634">
        <v>34</v>
      </c>
    </row>
    <row r="11" spans="2:23" ht="50.25" customHeight="1">
      <c r="B11" s="2056" t="s">
        <v>695</v>
      </c>
      <c s="2056" t="s">
        <v>696</v>
      </c>
      <c s="2055" t="s">
        <v>627</v>
      </c>
      <c s="2059" t="s">
        <v>628</v>
      </c>
      <c s="2059" t="s">
        <v>628</v>
      </c>
      <c r="H11" s="379"/>
      <c s="2027" t="s">
        <v>110</v>
      </c>
      <c s="1889" t="s">
        <v>697</v>
      </c>
      <c s="2021" t="s">
        <v>306</v>
      </c>
      <c s="821"/>
      <c s="300" t="s">
        <v>694</v>
      </c>
      <c r="W11" s="1634">
        <v>48</v>
      </c>
    </row>
    <row r="12" spans="2:23" ht="48.3" customHeight="1">
      <c r="B12" s="2056" t="s">
        <v>698</v>
      </c>
      <c s="2056" t="s">
        <v>699</v>
      </c>
      <c s="2055" t="s">
        <v>627</v>
      </c>
      <c s="2059" t="s">
        <v>628</v>
      </c>
      <c s="2059" t="s">
        <v>628</v>
      </c>
      <c r="H12" s="1691"/>
      <c s="2027" t="s">
        <v>89</v>
      </c>
      <c s="2034" t="s">
        <v>700</v>
      </c>
      <c s="2021" t="s">
        <v>306</v>
      </c>
      <c s="821"/>
      <c s="300" t="s">
        <v>701</v>
      </c>
      <c s="1627"/>
      <c r="P12" s="1634"/>
      <c r="W12" s="1634">
        <v>46</v>
      </c>
    </row>
    <row r="13" spans="5:23" ht="14.7" customHeight="1">
      <c r="E13" s="346"/>
      <c r="H13" s="379"/>
      <c s="350"/>
      <c s="654" t="s">
        <v>702</v>
      </c>
      <c s="574"/>
      <c s="217"/>
      <c s="300"/>
      <c r="W13" s="1634">
        <v>14</v>
      </c>
    </row>
    <row r="14" spans="5:23" ht="14.7" customHeight="1">
      <c r="E14" s="346"/>
      <c r="H14" s="379"/>
      <c s="1060"/>
      <c s="1680"/>
      <c s="1681"/>
      <c s="1682"/>
      <c s="2031"/>
      <c r="W14" s="1634">
        <v>14</v>
      </c>
    </row>
    <row r="15" spans="9:23" ht="14.7" customHeight="1">
      <c r="I15" s="1684"/>
      <c s="2388"/>
      <c s="2388"/>
      <c s="2388"/>
      <c s="2388"/>
      <c r="W15" s="1634">
        <v>14</v>
      </c>
    </row>
    <row r="16" spans="1:23" ht="21" customHeight="1" hidden="1">
      <c r="A16" s="2033" t="s">
        <v>81</v>
      </c>
      <c s="1634">
        <v>9</v>
      </c>
      <c s="1634">
        <v>9</v>
      </c>
      <c s="1634">
        <v>9</v>
      </c>
      <c s="2033" t="s">
        <v>150</v>
      </c>
      <c s="2058" t="s">
        <v>150</v>
      </c>
      <c s="2060"/>
      <c s="347">
        <v>3</v>
      </c>
      <c s="1634">
        <v>6</v>
      </c>
      <c s="1634">
        <v>63</v>
      </c>
      <c s="1634">
        <v>9</v>
      </c>
      <c s="1634">
        <v>39</v>
      </c>
      <c s="1634">
        <v>89</v>
      </c>
      <c s="1634">
        <v>10</v>
      </c>
      <c s="1627">
        <v>10</v>
      </c>
      <c s="1627">
        <v>10</v>
      </c>
      <c s="1634">
        <v>10</v>
      </c>
      <c s="1634">
        <v>10</v>
      </c>
      <c s="1634">
        <v>10</v>
      </c>
      <c s="1634">
        <v>10</v>
      </c>
      <c s="1634">
        <v>10</v>
      </c>
      <c s="1634">
        <v>10</v>
      </c>
      <c s="1634">
        <v>23</v>
      </c>
    </row>
  </sheetData>
  <sheetProtection formatColumns="0" formatRows="0" insertRows="0" deleteColumns="0" deleteRows="0" sort="0" autoFilter="0"/>
  <mergeCells count="5">
    <mergeCell ref="J15:M15"/>
    <mergeCell ref="I5:L5"/>
    <mergeCell ref="I6:L6"/>
    <mergeCell ref="I8:L8"/>
    <mergeCell ref="M8:M9"/>
  </mergeCells>
  <dataValidations count="2">
    <dataValidation type="textLength" operator="lessThanOrEqual" allowBlank="1" showInputMessage="1" showErrorMessage="1"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errorTitle="Ошибка" error="Допускается ввод не более 900 символов!" sqref="L2 L10:L12">
      <formula1>900</formula1>
    </dataValidation>
    <dataValidation type="textLength" operator="lessThanOrEqual" allowBlank="1" showInputMessage="1" showErrorMessage="1" errorTitle="Ошибка" error="Допускается ввод не более 900 символов!" sqref="J2 M10">
      <formula1>900</formula1>
    </dataValidation>
  </dataValidations>
  <pageMargins left="0.7" right="0.7" top="0.75" bottom="0.75" header="0.3" footer="0.3"/>
  <pageSetup orientation="portrait"/>
  <drawing r:id="rId1"/>
</worksheet>
</file>

<file path=xl/worksheets/sheet3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m="http://schemas.microsoft.com/office/excel/2006/main" xmlns:x14ac="http://schemas.microsoft.com/office/spreadsheetml/2009/9/ac" xmlns:xr="http://schemas.microsoft.com/office/spreadsheetml/2014/revision" xmlns:xr2="http://schemas.microsoft.com/office/spreadsheetml/2015/revision2" xmlns:xr3="http://schemas.microsoft.com/office/spreadsheetml/2016/revision3" xr:uid="{D1196099-7671-3588-6EC9-32300A268808}" mc:Ignorable="x14ac xr xr2 xr3">
  <sheetPr>
    <tabColor theme="9" tint="-0.249980002641678"/>
  </sheetPr>
  <dimension ref="A1:AF217"/>
  <sheetViews>
    <sheetView showGridLines="0" zoomScale="90" zoomScaleNormal="90" workbookViewId="0" topLeftCell="A1">
      <pane xSplit="8" ySplit="14" topLeftCell="I15" activePane="bottomRight" state="frozen"/>
      <selection pane="topLeft" activeCell="A1" sqref="A1"/>
      <selection pane="bottomLeft" activeCell="A15" sqref="A15"/>
      <selection pane="topRight" activeCell="I1" sqref="I1"/>
      <selection pane="bottomRight" activeCell="A1" sqref="A1"/>
    </sheetView>
  </sheetViews>
  <sheetFormatPr defaultColWidth="9.14428571428571" defaultRowHeight="11.25" customHeight="1"/>
  <cols>
    <col min="1" max="1" width="10.7142857142857" style="990" hidden="1" customWidth="1"/>
    <col min="2" max="2" width="16.8571428571429" style="1369" hidden="1" customWidth="1"/>
    <col min="3" max="3" width="5.57142857142857" style="1645" hidden="1" customWidth="1"/>
    <col min="4" max="4" width="3" style="1638" customWidth="1"/>
    <col min="5" max="5" width="7" style="1638" customWidth="1"/>
    <col min="6" max="6" width="56" style="1638" customWidth="1"/>
    <col min="7" max="7" width="10" style="1638" customWidth="1"/>
    <col min="8" max="8" width="40.7142857142857" style="1638" hidden="1" customWidth="1"/>
    <col min="9" max="9" width="40" style="1638" customWidth="1"/>
    <col min="10" max="10" width="102" style="1638" customWidth="1"/>
    <col min="11" max="11" width="9" style="1369" customWidth="1"/>
    <col min="12" max="12" width="5" style="1645" customWidth="1"/>
    <col min="13" max="13" width="3" style="1645" customWidth="1"/>
    <col min="14" max="17" width="3" style="1369" customWidth="1"/>
    <col min="18" max="18" width="10" style="1645" customWidth="1"/>
    <col min="19" max="19" width="34" style="1369" customWidth="1"/>
    <col min="20" max="20" width="9" style="1369" customWidth="1"/>
    <col min="21" max="21" width="8" style="739" customWidth="1"/>
    <col min="22" max="26" width="8" style="1369" customWidth="1"/>
    <col min="27" max="31" width="8" style="1635" customWidth="1"/>
    <col min="32" max="32" width="10.4285714285714" style="1638" hidden="1" customWidth="1"/>
  </cols>
  <sheetData>
    <row r="1" spans="1:32" s="1369" customFormat="1" ht="22.5" customHeight="1" hidden="1">
      <c r="A1" s="990"/>
      <c r="C1" s="1639"/>
      <c s="540"/>
      <c r="H1" s="1163">
        <v>4</v>
      </c>
      <c s="1163">
        <v>4</v>
      </c>
      <c r="L1" s="1639"/>
      <c s="1639"/>
      <c r="R1" s="1639"/>
      <c r="AF1" s="1163" t="s">
        <v>14</v>
      </c>
    </row>
    <row r="2" spans="1:32" s="1369" customFormat="1" ht="22.5" customHeight="1" hidden="1">
      <c r="A2" s="990"/>
      <c r="C2" s="1639"/>
      <c s="541"/>
      <c s="1640"/>
      <c s="543"/>
      <c s="1642" t="s">
        <v>552</v>
      </c>
      <c s="544"/>
      <c s="544"/>
      <c s="545" t="s">
        <v>703</v>
      </c>
      <c s="546"/>
      <c s="1639"/>
      <c s="1639"/>
      <c r="R2" s="1639"/>
      <c r="U2" s="547"/>
      <c r="AA2" s="1635"/>
      <c s="1635"/>
      <c s="1635"/>
      <c s="1635"/>
      <c s="1635"/>
      <c s="1163">
        <v>0</v>
      </c>
    </row>
    <row r="3" spans="32:32" ht="11.25" customHeight="1" hidden="1">
      <c r="AF3" s="1634">
        <v>0</v>
      </c>
    </row>
    <row r="4" spans="1:32" s="1635" customFormat="1" ht="11.25" customHeight="1" hidden="1">
      <c r="A4" s="990"/>
      <c s="1163"/>
      <c s="1639"/>
      <c s="365"/>
      <c r="J4" s="1635">
        <v>4</v>
      </c>
      <c s="1163"/>
      <c s="1639"/>
      <c s="1639"/>
      <c s="1163"/>
      <c s="1163"/>
      <c s="1163"/>
      <c s="1163"/>
      <c s="1639"/>
      <c s="1163"/>
      <c s="1163"/>
      <c s="547"/>
      <c s="1163"/>
      <c s="1163"/>
      <c s="1163"/>
      <c s="1163"/>
      <c s="1163"/>
      <c r="AF4" s="1635">
        <v>0</v>
      </c>
    </row>
    <row r="5" spans="32:32" ht="11.55" customHeight="1">
      <c r="AF5" s="1634">
        <v>11</v>
      </c>
    </row>
    <row r="6" spans="5:32" ht="31.5" customHeight="1">
      <c r="E6" s="2310" t="s">
        <v>704</v>
      </c>
      <c s="2310"/>
      <c s="2310"/>
      <c s="2310"/>
      <c s="2310"/>
      <c s="559"/>
      <c r="AF6" s="1634">
        <v>30</v>
      </c>
    </row>
    <row r="7" spans="5:32" ht="11.55" customHeight="1">
      <c r="E7" s="2252" t="str">
        <f>IF(org=0,"Не определено",org)</f>
        <v>ГУП КК "Кубаньводкомплекс"</v>
      </c>
      <c s="2252"/>
      <c s="2252"/>
      <c s="2252"/>
      <c s="2252"/>
      <c r="AF7" s="1634">
        <v>11</v>
      </c>
    </row>
    <row r="8" spans="5:32" ht="11.55" customHeight="1">
      <c r="E8" s="1138"/>
      <c s="1138"/>
      <c s="1138"/>
      <c s="1138"/>
      <c s="1138"/>
      <c r="AF8" s="1634">
        <v>11</v>
      </c>
    </row>
    <row r="9" spans="1:32" s="1645" customFormat="1" ht="4.2" customHeight="1">
      <c r="A9" s="1170"/>
      <c r="D9" s="1645"/>
      <c r="H9" s="892"/>
      <c s="892" t="s">
        <v>118</v>
      </c>
      <c r="AF9" s="1639">
        <v>4</v>
      </c>
    </row>
    <row r="10" spans="5:32" ht="11.55" customHeight="1">
      <c r="E10" s="714"/>
      <c s="2370" t="s">
        <v>105</v>
      </c>
      <c s="2371"/>
      <c s="1555" t="str">
        <f>IF(H9="","",INDEX(DIFFERENTIATION_UNMERGE_VD,MATCH(H9,DIFFERENTIATION_ID_DIFF,0)))</f>
        <v/>
      </c>
      <c s="1555" t="str">
        <f>IF(I9="","",INDEX(DIFFERENTIATION_UNMERGE_VD,MATCH(I9,DIFFERENTIATION_ID_DIFF,0)))</f>
        <v>Водоотведение; Транспортировка; Подключение (технологическое присоединение) к централизованной системе водоотведения</v>
      </c>
      <c s="2130"/>
      <c r="AF10" s="1634">
        <v>11</v>
      </c>
    </row>
    <row r="11" spans="5:32" ht="11.55" customHeight="1">
      <c r="E11" s="714"/>
      <c s="2370" t="s">
        <v>564</v>
      </c>
      <c s="2371"/>
      <c s="1555" t="str">
        <f>IF(H9="","",INDEX(DIFFERENTIATION_UNMERGE_AREA,MATCH(H9,DIFFERENTIATION_ID_DIFF,0)))</f>
        <v/>
      </c>
      <c s="1555" t="str">
        <f>IF(I9="","",INDEX(DIFFERENTIATION_UNMERGE_AREA,MATCH(I9,DIFFERENTIATION_ID_DIFF,0)))</f>
        <v>Территория 1</v>
      </c>
      <c s="2130"/>
      <c r="AF11" s="1634">
        <v>11</v>
      </c>
    </row>
    <row r="12" spans="5:32" ht="1.05" customHeight="1">
      <c r="E12" s="1665"/>
      <c s="2393" t="s">
        <v>565</v>
      </c>
      <c s="2394"/>
      <c s="1666" t="str">
        <f>IF(H9="","",INDEX(DIFFERENTIATION_UNMERGE_SYSTEM,MATCH(H9,DIFFERENTIATION_ID_DIFF,0)))</f>
        <v/>
      </c>
      <c s="1666" t="str">
        <f>IF(I9="","",INDEX(DIFFERENTIATION_UNMERGE_SYSTEM,MATCH(I9,DIFFERENTIATION_ID_DIFF,0)))</f>
        <v>Ейский групповой водопровод (разводящие сети)</v>
      </c>
      <c s="2130"/>
      <c r="AF12" s="1634">
        <v>1</v>
      </c>
    </row>
    <row r="13" spans="5:32" ht="11.55" customHeight="1">
      <c r="E13" s="2372" t="s">
        <v>300</v>
      </c>
      <c s="2373"/>
      <c s="2373"/>
      <c s="1554"/>
      <c s="1554"/>
      <c s="2130"/>
      <c r="AF13" s="1634">
        <v>11</v>
      </c>
    </row>
    <row r="14" spans="5:32" ht="24" customHeight="1">
      <c r="E14" s="1642" t="s">
        <v>87</v>
      </c>
      <c s="1637" t="s">
        <v>302</v>
      </c>
      <c s="1637" t="s">
        <v>566</v>
      </c>
      <c s="1637" t="s">
        <v>303</v>
      </c>
      <c s="1637" t="s">
        <v>303</v>
      </c>
      <c s="2130"/>
      <c r="AF14" s="1634">
        <v>23</v>
      </c>
    </row>
    <row r="15" spans="4:32" ht="19.95" customHeight="1">
      <c r="D15" s="1641"/>
      <c s="1633" t="s">
        <v>109</v>
      </c>
      <c s="710" t="s">
        <v>705</v>
      </c>
      <c s="1649" t="s">
        <v>552</v>
      </c>
      <c s="560"/>
      <c s="560"/>
      <c s="292" t="s">
        <v>706</v>
      </c>
      <c s="546" t="s">
        <v>630</v>
      </c>
      <c r="AF15" s="1634">
        <v>19</v>
      </c>
    </row>
    <row r="16" spans="4:32" ht="35.7" customHeight="1">
      <c r="D16" s="1641"/>
      <c s="1633" t="s">
        <v>110</v>
      </c>
      <c s="710" t="s">
        <v>707</v>
      </c>
      <c s="1649" t="s">
        <v>552</v>
      </c>
      <c s="561">
        <f>SUM(H17,H20:H32)</f>
        <v>0</v>
      </c>
      <c s="561">
        <f>SUM(I17,I20,I23,I26,I29:I32)</f>
        <v>0</v>
      </c>
      <c s="292" t="s">
        <v>708</v>
      </c>
      <c s="546" t="s">
        <v>630</v>
      </c>
      <c r="AF16" s="1634">
        <v>34</v>
      </c>
    </row>
    <row r="17" spans="4:32" ht="19.95" customHeight="1">
      <c r="D17" s="1641"/>
      <c s="1667" t="s">
        <v>709</v>
      </c>
      <c s="957" t="s">
        <v>710</v>
      </c>
      <c s="1646" t="s">
        <v>552</v>
      </c>
      <c s="560"/>
      <c s="560"/>
      <c s="292" t="s">
        <v>711</v>
      </c>
      <c s="546"/>
      <c r="AF17" s="1634">
        <v>19</v>
      </c>
    </row>
    <row r="18" spans="4:32" ht="24" customHeight="1">
      <c r="D18" s="1641"/>
      <c s="1667" t="s">
        <v>712</v>
      </c>
      <c s="1653" t="s">
        <v>713</v>
      </c>
      <c s="1646" t="s">
        <v>552</v>
      </c>
      <c s="560"/>
      <c s="560"/>
      <c s="292" t="s">
        <v>714</v>
      </c>
      <c s="546"/>
      <c r="AF18" s="1634">
        <v>23</v>
      </c>
    </row>
    <row r="19" spans="4:32" ht="35.7" customHeight="1">
      <c r="D19" s="1641"/>
      <c s="1667" t="s">
        <v>715</v>
      </c>
      <c s="1653" t="s">
        <v>716</v>
      </c>
      <c s="1646" t="s">
        <v>552</v>
      </c>
      <c s="560"/>
      <c s="560"/>
      <c s="292"/>
      <c s="546"/>
      <c r="AF19" s="1634">
        <v>34</v>
      </c>
    </row>
    <row r="20" spans="4:32" ht="19.95" customHeight="1">
      <c r="D20" s="1641"/>
      <c s="1667" t="s">
        <v>307</v>
      </c>
      <c s="957" t="s">
        <v>717</v>
      </c>
      <c s="1646" t="s">
        <v>552</v>
      </c>
      <c s="560"/>
      <c s="560"/>
      <c s="292" t="s">
        <v>718</v>
      </c>
      <c s="546"/>
      <c r="AF20" s="1634">
        <v>19</v>
      </c>
    </row>
    <row r="21" spans="4:32" ht="19.95" customHeight="1">
      <c r="D21" s="1641"/>
      <c s="1667" t="s">
        <v>719</v>
      </c>
      <c s="1653" t="s">
        <v>720</v>
      </c>
      <c s="1646" t="s">
        <v>552</v>
      </c>
      <c s="560"/>
      <c s="560"/>
      <c s="292"/>
      <c s="546"/>
      <c r="AF21" s="1634">
        <v>19</v>
      </c>
    </row>
    <row r="22" spans="4:32" ht="19.95" customHeight="1">
      <c r="D22" s="1641"/>
      <c s="1667" t="s">
        <v>721</v>
      </c>
      <c s="1653" t="s">
        <v>722</v>
      </c>
      <c s="1646" t="s">
        <v>552</v>
      </c>
      <c s="560"/>
      <c s="560"/>
      <c s="292"/>
      <c s="546"/>
      <c r="AF22" s="1634">
        <v>19</v>
      </c>
    </row>
    <row r="23" spans="4:32" ht="24" customHeight="1">
      <c r="D23" s="1641"/>
      <c s="1667" t="s">
        <v>310</v>
      </c>
      <c s="957" t="s">
        <v>723</v>
      </c>
      <c s="1646" t="s">
        <v>552</v>
      </c>
      <c s="560"/>
      <c s="560"/>
      <c s="292" t="s">
        <v>724</v>
      </c>
      <c s="546"/>
      <c r="AF23" s="1634">
        <v>23</v>
      </c>
    </row>
    <row r="24" spans="4:32" ht="19.95" customHeight="1">
      <c r="D24" s="1641"/>
      <c s="1667" t="s">
        <v>725</v>
      </c>
      <c s="1653" t="s">
        <v>726</v>
      </c>
      <c s="1646" t="s">
        <v>552</v>
      </c>
      <c s="560"/>
      <c s="560"/>
      <c s="292"/>
      <c s="546"/>
      <c r="AF24" s="1634">
        <v>19</v>
      </c>
    </row>
    <row r="25" spans="4:32" ht="35.7" customHeight="1">
      <c r="D25" s="1641"/>
      <c s="1667" t="s">
        <v>727</v>
      </c>
      <c s="1653" t="s">
        <v>728</v>
      </c>
      <c s="1646" t="s">
        <v>552</v>
      </c>
      <c s="560"/>
      <c s="560"/>
      <c s="292"/>
      <c s="546"/>
      <c r="AF25" s="1634">
        <v>34</v>
      </c>
    </row>
    <row r="26" spans="4:32" ht="24" customHeight="1">
      <c r="D26" s="1641"/>
      <c s="1667" t="s">
        <v>729</v>
      </c>
      <c s="957" t="s">
        <v>730</v>
      </c>
      <c s="1646" t="s">
        <v>552</v>
      </c>
      <c s="560"/>
      <c s="560"/>
      <c s="292" t="s">
        <v>731</v>
      </c>
      <c s="546"/>
      <c r="AF26" s="1634">
        <v>23</v>
      </c>
    </row>
    <row r="27" spans="4:32" ht="19.95" customHeight="1">
      <c r="D27" s="1641"/>
      <c s="1678" t="s">
        <v>732</v>
      </c>
      <c s="1653" t="s">
        <v>733</v>
      </c>
      <c s="1657" t="s">
        <v>552</v>
      </c>
      <c s="1679"/>
      <c s="1679"/>
      <c s="292"/>
      <c s="546"/>
      <c r="AF27" s="1634">
        <v>19</v>
      </c>
    </row>
    <row r="28" spans="4:32" ht="19.95" customHeight="1">
      <c r="D28" s="1641"/>
      <c s="1678" t="s">
        <v>734</v>
      </c>
      <c s="1653" t="s">
        <v>735</v>
      </c>
      <c s="1657" t="s">
        <v>552</v>
      </c>
      <c s="1679"/>
      <c s="1679"/>
      <c s="292"/>
      <c s="546"/>
      <c r="AF28" s="1634">
        <v>19</v>
      </c>
    </row>
    <row r="29" spans="4:32" ht="19.95" customHeight="1">
      <c r="D29" s="1641"/>
      <c s="1678" t="s">
        <v>736</v>
      </c>
      <c s="957" t="s">
        <v>737</v>
      </c>
      <c s="1657" t="s">
        <v>552</v>
      </c>
      <c s="1679"/>
      <c s="1679"/>
      <c s="292"/>
      <c s="546"/>
      <c r="AF29" s="1634">
        <v>19</v>
      </c>
    </row>
    <row r="30" spans="4:32" ht="19.95" customHeight="1">
      <c r="D30" s="1641"/>
      <c s="1678" t="s">
        <v>738</v>
      </c>
      <c s="957" t="s">
        <v>739</v>
      </c>
      <c s="1657" t="s">
        <v>552</v>
      </c>
      <c s="1679"/>
      <c s="1679"/>
      <c s="292"/>
      <c s="546"/>
      <c r="AF30" s="1634">
        <v>19</v>
      </c>
    </row>
    <row r="31" spans="4:32" ht="19.95" customHeight="1">
      <c r="D31" s="1641"/>
      <c s="1678" t="s">
        <v>740</v>
      </c>
      <c s="957" t="s">
        <v>741</v>
      </c>
      <c s="1657" t="s">
        <v>552</v>
      </c>
      <c s="1679"/>
      <c s="1679"/>
      <c s="292"/>
      <c s="546"/>
      <c r="AF31" s="1634">
        <v>19</v>
      </c>
    </row>
    <row r="32" spans="1:32" s="1369" customFormat="1" ht="35.7" customHeight="1">
      <c r="A32" s="990"/>
      <c r="C32" s="1639"/>
      <c s="1641"/>
      <c s="1678" t="s">
        <v>742</v>
      </c>
      <c s="957" t="s">
        <v>743</v>
      </c>
      <c s="1647" t="s">
        <v>552</v>
      </c>
      <c s="582">
        <f>SUM(H33:H34)</f>
        <v>0</v>
      </c>
      <c s="582">
        <f>SUM(I33:I34)</f>
        <v>0</v>
      </c>
      <c s="292" t="s">
        <v>744</v>
      </c>
      <c s="546"/>
      <c s="1639"/>
      <c s="1639"/>
      <c r="R32" s="1639"/>
      <c r="U32" s="547"/>
      <c r="AA32" s="1635"/>
      <c s="1635"/>
      <c s="1635"/>
      <c s="1635"/>
      <c s="1635"/>
      <c s="1163">
        <v>34</v>
      </c>
    </row>
    <row r="33" spans="1:32" s="1645" customFormat="1" ht="1.05" customHeight="1">
      <c r="A33" s="1170"/>
      <c r="D33" s="551"/>
      <c s="805" t="str">
        <f>E32&amp;".0"</f>
        <v>2.8.0</v>
      </c>
      <c s="994"/>
      <c s="554"/>
      <c s="995"/>
      <c s="995"/>
      <c s="996"/>
      <c r="AF33" s="1639">
        <v>1</v>
      </c>
    </row>
    <row r="34" spans="1:32" s="1369" customFormat="1" ht="19.95" customHeight="1">
      <c r="A34" s="990"/>
      <c r="C34" s="1639"/>
      <c s="1636"/>
      <c s="573"/>
      <c s="1669" t="s">
        <v>577</v>
      </c>
      <c s="575"/>
      <c s="576"/>
      <c s="576"/>
      <c s="304" t="s">
        <v>745</v>
      </c>
      <c s="546"/>
      <c s="1639"/>
      <c s="1639"/>
      <c r="R34" s="1639"/>
      <c r="U34" s="547"/>
      <c r="AA34" s="1635"/>
      <c s="1635"/>
      <c s="1635"/>
      <c s="1635"/>
      <c s="1635"/>
      <c s="1163">
        <v>19</v>
      </c>
    </row>
    <row r="35" spans="4:32" ht="60" customHeight="1">
      <c r="D35" s="1641"/>
      <c s="1678" t="s">
        <v>746</v>
      </c>
      <c s="957" t="s">
        <v>747</v>
      </c>
      <c s="1657" t="s">
        <v>552</v>
      </c>
      <c s="1679"/>
      <c s="1679"/>
      <c s="292" t="s">
        <v>748</v>
      </c>
      <c s="546"/>
      <c r="AF35" s="1634">
        <v>57</v>
      </c>
    </row>
    <row r="36" spans="1:32" s="1369" customFormat="1" ht="24" customHeight="1">
      <c r="A36" s="992" t="s">
        <v>578</v>
      </c>
      <c r="C36" s="1639"/>
      <c s="1641"/>
      <c s="1667" t="s">
        <v>89</v>
      </c>
      <c s="710" t="s">
        <v>749</v>
      </c>
      <c s="1646" t="s">
        <v>552</v>
      </c>
      <c s="560"/>
      <c s="560"/>
      <c s="292" t="s">
        <v>750</v>
      </c>
      <c s="546"/>
      <c s="1639"/>
      <c s="1639"/>
      <c r="R36" s="1639"/>
      <c r="U36" s="547"/>
      <c r="AA36" s="1635"/>
      <c s="1635"/>
      <c s="1635"/>
      <c s="1635"/>
      <c s="1635"/>
      <c s="1163">
        <v>23</v>
      </c>
    </row>
    <row r="37" spans="1:32" s="1369" customFormat="1" ht="35.7" customHeight="1">
      <c r="A37" s="992"/>
      <c r="C37" s="1639"/>
      <c s="1641"/>
      <c s="1667" t="s">
        <v>324</v>
      </c>
      <c s="957" t="s">
        <v>751</v>
      </c>
      <c s="1657"/>
      <c s="560"/>
      <c s="560"/>
      <c s="292"/>
      <c s="546"/>
      <c s="1639"/>
      <c s="1639"/>
      <c r="R37" s="1639"/>
      <c r="U37" s="547"/>
      <c r="AA37" s="1635"/>
      <c s="1635"/>
      <c s="1635"/>
      <c s="1635"/>
      <c s="1635"/>
      <c s="1163">
        <v>34</v>
      </c>
    </row>
    <row r="38" spans="1:32" s="1369" customFormat="1" ht="19.95" customHeight="1">
      <c r="A38" s="990"/>
      <c r="C38" s="1639"/>
      <c s="578"/>
      <c s="1667" t="s">
        <v>90</v>
      </c>
      <c s="710" t="s">
        <v>752</v>
      </c>
      <c s="1646" t="s">
        <v>552</v>
      </c>
      <c s="560"/>
      <c s="560"/>
      <c s="292" t="s">
        <v>753</v>
      </c>
      <c s="546"/>
      <c s="1639"/>
      <c s="1639"/>
      <c r="R38" s="1639"/>
      <c r="U38" s="547"/>
      <c r="AA38" s="1635"/>
      <c s="1635"/>
      <c s="1635"/>
      <c s="1635"/>
      <c s="1635"/>
      <c s="1163">
        <v>19</v>
      </c>
    </row>
    <row r="39" spans="1:32" s="1369" customFormat="1" ht="24" customHeight="1">
      <c r="A39" s="990"/>
      <c r="C39" s="1639"/>
      <c s="578"/>
      <c s="1667" t="s">
        <v>754</v>
      </c>
      <c s="957" t="s">
        <v>755</v>
      </c>
      <c s="1657" t="s">
        <v>552</v>
      </c>
      <c s="560"/>
      <c s="560"/>
      <c s="292" t="s">
        <v>756</v>
      </c>
      <c s="546"/>
      <c s="1639"/>
      <c s="1639"/>
      <c r="R39" s="1639"/>
      <c r="U39" s="547"/>
      <c r="AA39" s="1635"/>
      <c s="1635"/>
      <c s="1635"/>
      <c s="1635"/>
      <c s="1635"/>
      <c s="1163">
        <v>23</v>
      </c>
    </row>
    <row r="40" spans="1:32" s="1369" customFormat="1" ht="24" customHeight="1">
      <c r="A40" s="990"/>
      <c r="C40" s="1639"/>
      <c s="1641"/>
      <c s="1667" t="s">
        <v>757</v>
      </c>
      <c s="1653" t="s">
        <v>758</v>
      </c>
      <c s="1646" t="s">
        <v>552</v>
      </c>
      <c s="560"/>
      <c s="560"/>
      <c s="292" t="s">
        <v>759</v>
      </c>
      <c s="546"/>
      <c s="1639"/>
      <c s="1639"/>
      <c r="R40" s="1639"/>
      <c r="U40" s="547"/>
      <c r="AA40" s="1635"/>
      <c s="1635"/>
      <c s="1635"/>
      <c s="1635"/>
      <c s="1635"/>
      <c s="1163">
        <v>23</v>
      </c>
    </row>
    <row r="41" spans="1:32" s="1369" customFormat="1" ht="24" customHeight="1">
      <c r="A41" s="990"/>
      <c r="C41" s="1639"/>
      <c s="1641"/>
      <c s="1667" t="s">
        <v>760</v>
      </c>
      <c s="1653" t="s">
        <v>761</v>
      </c>
      <c s="1646" t="s">
        <v>552</v>
      </c>
      <c s="560"/>
      <c s="560"/>
      <c s="292" t="s">
        <v>762</v>
      </c>
      <c s="546"/>
      <c s="1639"/>
      <c s="1639"/>
      <c r="R41" s="1639"/>
      <c r="U41" s="547"/>
      <c r="AA41" s="1635"/>
      <c s="1635"/>
      <c s="1635"/>
      <c s="1635"/>
      <c s="1635"/>
      <c s="1163">
        <v>23</v>
      </c>
    </row>
    <row r="42" spans="1:32" s="1369" customFormat="1" ht="24" customHeight="1">
      <c r="A42" s="990"/>
      <c r="C42" s="1639"/>
      <c s="1641"/>
      <c s="1667" t="s">
        <v>763</v>
      </c>
      <c s="1653" t="s">
        <v>764</v>
      </c>
      <c s="1646" t="s">
        <v>552</v>
      </c>
      <c s="560"/>
      <c s="560"/>
      <c s="292" t="s">
        <v>765</v>
      </c>
      <c s="546"/>
      <c s="1639"/>
      <c s="1639"/>
      <c r="R42" s="1639"/>
      <c r="U42" s="547"/>
      <c r="AA42" s="1635"/>
      <c s="1635"/>
      <c s="1635"/>
      <c s="1635"/>
      <c s="1635"/>
      <c s="1163">
        <v>23</v>
      </c>
    </row>
    <row r="43" spans="1:32" s="1369" customFormat="1" ht="35.7" customHeight="1">
      <c r="A43" s="990"/>
      <c r="C43" s="1639" t="s">
        <v>588</v>
      </c>
      <c s="1641"/>
      <c s="1667" t="s">
        <v>111</v>
      </c>
      <c s="710" t="s">
        <v>629</v>
      </c>
      <c s="1649" t="s">
        <v>766</v>
      </c>
      <c s="404"/>
      <c s="404"/>
      <c s="292" t="s">
        <v>767</v>
      </c>
      <c s="546"/>
      <c s="1639"/>
      <c s="1639"/>
      <c r="R43" s="1639"/>
      <c r="U43" s="547"/>
      <c r="AA43" s="1635"/>
      <c s="1635"/>
      <c s="1635"/>
      <c s="1635"/>
      <c s="1635"/>
      <c s="1163">
        <v>34</v>
      </c>
    </row>
    <row r="44" spans="1:32" s="1369" customFormat="1" ht="35.7" customHeight="1">
      <c r="A44" s="990"/>
      <c r="C44" s="1639"/>
      <c s="1641"/>
      <c s="1667" t="s">
        <v>91</v>
      </c>
      <c s="710" t="s">
        <v>768</v>
      </c>
      <c s="1646" t="s">
        <v>769</v>
      </c>
      <c s="548"/>
      <c s="548"/>
      <c s="292" t="s">
        <v>770</v>
      </c>
      <c s="546"/>
      <c s="1639"/>
      <c s="1639"/>
      <c r="R44" s="1639"/>
      <c r="U44" s="547"/>
      <c r="AA44" s="1635"/>
      <c s="1635"/>
      <c s="1635"/>
      <c s="1635"/>
      <c s="1635"/>
      <c s="1163">
        <v>34</v>
      </c>
    </row>
    <row r="45" spans="1:32" s="1369" customFormat="1" ht="24" customHeight="1">
      <c r="A45" s="990"/>
      <c r="C45" s="1639"/>
      <c s="1641"/>
      <c s="1667" t="s">
        <v>92</v>
      </c>
      <c s="710" t="s">
        <v>771</v>
      </c>
      <c s="1657" t="s">
        <v>772</v>
      </c>
      <c s="548"/>
      <c s="548"/>
      <c s="292" t="s">
        <v>773</v>
      </c>
      <c s="546"/>
      <c s="1639"/>
      <c s="1639"/>
      <c r="R45" s="1639"/>
      <c r="U45" s="547"/>
      <c r="AA45" s="1635"/>
      <c s="1635"/>
      <c s="1635"/>
      <c s="1635"/>
      <c s="1635"/>
      <c s="1163">
        <v>23</v>
      </c>
    </row>
    <row r="46" spans="1:32" s="1369" customFormat="1" ht="19.95" customHeight="1">
      <c r="A46" s="990"/>
      <c r="C46" s="1639"/>
      <c s="1641"/>
      <c s="1667" t="s">
        <v>112</v>
      </c>
      <c s="710" t="s">
        <v>774</v>
      </c>
      <c s="1646" t="s">
        <v>590</v>
      </c>
      <c s="580"/>
      <c s="580"/>
      <c s="292"/>
      <c s="546"/>
      <c s="1639"/>
      <c s="1639"/>
      <c r="R46" s="1639"/>
      <c r="U46" s="547"/>
      <c r="AA46" s="1635"/>
      <c s="1635"/>
      <c s="1635"/>
      <c s="1635"/>
      <c s="1635"/>
      <c s="1163">
        <v>19</v>
      </c>
    </row>
    <row r="47" spans="4:32" ht="11.55" customHeight="1">
      <c r="D47" s="1641"/>
      <c r="AF47" s="1634">
        <v>11</v>
      </c>
    </row>
    <row r="48" spans="1:32" s="1644" customFormat="1" ht="11.55" customHeight="1">
      <c r="A48" s="990"/>
      <c s="1639"/>
      <c s="1639"/>
      <c s="354"/>
      <c r="K48" s="1163"/>
      <c s="1639"/>
      <c s="1639"/>
      <c s="1163"/>
      <c s="1163"/>
      <c s="1163"/>
      <c s="1163"/>
      <c s="1639"/>
      <c s="1163"/>
      <c s="1163"/>
      <c s="547"/>
      <c s="1163"/>
      <c s="1163"/>
      <c s="1163"/>
      <c s="1163"/>
      <c s="1163"/>
      <c s="1635"/>
      <c s="569"/>
      <c s="569"/>
      <c s="569"/>
      <c s="569"/>
      <c s="1644">
        <v>11</v>
      </c>
    </row>
    <row r="49" spans="1:32" s="1644" customFormat="1" ht="11.55" customHeight="1">
      <c r="A49" s="990"/>
      <c s="1639"/>
      <c s="1639"/>
      <c s="354"/>
      <c r="K49" s="1163"/>
      <c s="1639"/>
      <c s="1639"/>
      <c s="1163"/>
      <c s="1163"/>
      <c s="1163"/>
      <c s="1163"/>
      <c s="1639"/>
      <c s="1163"/>
      <c s="1163"/>
      <c s="547"/>
      <c s="1163"/>
      <c s="1163"/>
      <c s="1163"/>
      <c s="1163"/>
      <c s="1163"/>
      <c s="1635"/>
      <c s="569"/>
      <c s="569"/>
      <c s="569"/>
      <c s="569"/>
      <c s="1644">
        <v>11</v>
      </c>
    </row>
    <row r="50" spans="1:32" s="1644" customFormat="1" ht="11.55" customHeight="1">
      <c r="A50" s="990"/>
      <c s="1639"/>
      <c s="1639"/>
      <c s="354"/>
      <c r="H50" s="569"/>
      <c s="569"/>
      <c r="K50" s="1163"/>
      <c s="1639"/>
      <c s="1639"/>
      <c s="1163"/>
      <c s="1163"/>
      <c s="1163"/>
      <c s="1163"/>
      <c s="1639"/>
      <c s="1163"/>
      <c s="1163"/>
      <c s="547"/>
      <c s="1163"/>
      <c s="1163"/>
      <c s="1163"/>
      <c s="1163"/>
      <c s="1163"/>
      <c s="1635"/>
      <c s="569"/>
      <c s="569"/>
      <c s="569"/>
      <c s="569"/>
      <c s="1644">
        <v>11</v>
      </c>
    </row>
    <row r="51" spans="1:32" s="1644" customFormat="1" ht="11.55" customHeight="1">
      <c r="A51" s="990"/>
      <c s="1639"/>
      <c s="1639"/>
      <c s="354"/>
      <c r="K51" s="1163"/>
      <c s="1639"/>
      <c s="1639"/>
      <c s="1163"/>
      <c s="1163"/>
      <c s="1163"/>
      <c s="1163"/>
      <c s="1639"/>
      <c s="1163"/>
      <c s="1163"/>
      <c s="547"/>
      <c s="1163"/>
      <c s="1163"/>
      <c s="1163"/>
      <c s="1163"/>
      <c s="1163"/>
      <c s="1635"/>
      <c s="569"/>
      <c s="569"/>
      <c s="569"/>
      <c s="569"/>
      <c s="1644">
        <v>11</v>
      </c>
    </row>
    <row r="52" spans="1:32" s="1644" customFormat="1" ht="11.55" customHeight="1">
      <c r="A52" s="990"/>
      <c s="1639"/>
      <c s="1639"/>
      <c s="354"/>
      <c r="K52" s="1163"/>
      <c s="1639"/>
      <c s="1639"/>
      <c s="1163"/>
      <c s="1163"/>
      <c s="1163"/>
      <c s="1163"/>
      <c s="1639"/>
      <c s="1163"/>
      <c s="1163"/>
      <c s="547"/>
      <c s="1163"/>
      <c s="1163"/>
      <c s="1163"/>
      <c s="1163"/>
      <c s="1163"/>
      <c s="1635"/>
      <c s="569"/>
      <c s="569"/>
      <c s="569"/>
      <c s="569"/>
      <c s="1644">
        <v>11</v>
      </c>
    </row>
    <row r="53" spans="1:32" s="1644" customFormat="1" ht="11.55" customHeight="1">
      <c r="A53" s="990"/>
      <c s="1639"/>
      <c s="1639"/>
      <c s="354"/>
      <c r="K53" s="1163"/>
      <c s="1639"/>
      <c s="1639"/>
      <c s="1163"/>
      <c s="1163"/>
      <c s="1163"/>
      <c s="1163"/>
      <c s="1639"/>
      <c s="1163"/>
      <c s="1163"/>
      <c s="547"/>
      <c s="1163"/>
      <c s="1163"/>
      <c s="1163"/>
      <c s="1163"/>
      <c s="1163"/>
      <c s="1635"/>
      <c s="569"/>
      <c s="569"/>
      <c s="569"/>
      <c s="569"/>
      <c s="1644">
        <v>11</v>
      </c>
    </row>
    <row r="54" spans="1:32" s="1644" customFormat="1" ht="11.55" customHeight="1">
      <c r="A54" s="990"/>
      <c s="1639"/>
      <c s="1639"/>
      <c s="354"/>
      <c r="K54" s="1163"/>
      <c s="1639"/>
      <c s="1639"/>
      <c s="1163"/>
      <c s="1163"/>
      <c s="1163"/>
      <c s="1163"/>
      <c s="1639"/>
      <c s="1163"/>
      <c s="1163"/>
      <c s="547"/>
      <c s="1163"/>
      <c s="1163"/>
      <c s="1163"/>
      <c s="1163"/>
      <c s="1163"/>
      <c s="1635"/>
      <c s="569"/>
      <c s="569"/>
      <c s="569"/>
      <c s="569"/>
      <c s="1644">
        <v>11</v>
      </c>
    </row>
    <row r="55" spans="1:32" s="1644" customFormat="1" ht="11.55" customHeight="1">
      <c r="A55" s="990"/>
      <c s="1639"/>
      <c s="1639"/>
      <c s="354"/>
      <c r="K55" s="1163"/>
      <c s="1639"/>
      <c s="1639"/>
      <c s="1163"/>
      <c s="1163"/>
      <c s="1163"/>
      <c s="1163"/>
      <c s="1639"/>
      <c s="1163"/>
      <c s="1163"/>
      <c s="547"/>
      <c s="1163"/>
      <c s="1163"/>
      <c s="1163"/>
      <c s="1163"/>
      <c s="1163"/>
      <c s="1635"/>
      <c s="569"/>
      <c s="569"/>
      <c s="569"/>
      <c s="569"/>
      <c s="1644">
        <v>11</v>
      </c>
    </row>
    <row r="56" spans="1:32" s="1644" customFormat="1" ht="11.55" customHeight="1">
      <c r="A56" s="990"/>
      <c s="1639"/>
      <c s="1639"/>
      <c s="354"/>
      <c r="K56" s="1163"/>
      <c s="1639"/>
      <c s="1639"/>
      <c s="1163"/>
      <c s="1163"/>
      <c s="1163"/>
      <c s="1163"/>
      <c s="1639"/>
      <c s="1163"/>
      <c s="1163"/>
      <c s="547"/>
      <c s="1163"/>
      <c s="1163"/>
      <c s="1163"/>
      <c s="1163"/>
      <c s="1163"/>
      <c s="1635"/>
      <c s="569"/>
      <c s="569"/>
      <c s="569"/>
      <c s="569"/>
      <c s="1644">
        <v>11</v>
      </c>
    </row>
    <row r="57" spans="1:32" s="1644" customFormat="1" ht="11.55" customHeight="1">
      <c r="A57" s="990"/>
      <c s="1639"/>
      <c s="1639"/>
      <c s="354"/>
      <c r="K57" s="1163"/>
      <c s="1639"/>
      <c s="1639"/>
      <c s="1163"/>
      <c s="1163"/>
      <c s="1163"/>
      <c s="1163"/>
      <c s="1639"/>
      <c s="1163"/>
      <c s="1163"/>
      <c s="547"/>
      <c s="1163"/>
      <c s="1163"/>
      <c s="1163"/>
      <c s="1163"/>
      <c s="1163"/>
      <c s="1635"/>
      <c s="569"/>
      <c s="569"/>
      <c s="569"/>
      <c s="569"/>
      <c s="1644">
        <v>11</v>
      </c>
    </row>
    <row r="58" spans="1:32" s="1644" customFormat="1" ht="11.55" customHeight="1">
      <c r="A58" s="990"/>
      <c s="1639"/>
      <c s="1639"/>
      <c s="354"/>
      <c r="K58" s="1163"/>
      <c s="1639"/>
      <c s="1639"/>
      <c s="1163"/>
      <c s="1163"/>
      <c s="1163"/>
      <c s="1163"/>
      <c s="1639"/>
      <c s="1163"/>
      <c s="1163"/>
      <c s="547"/>
      <c s="1163"/>
      <c s="1163"/>
      <c s="1163"/>
      <c s="1163"/>
      <c s="1163"/>
      <c s="1635"/>
      <c s="569"/>
      <c s="569"/>
      <c s="569"/>
      <c s="569"/>
      <c s="1644">
        <v>11</v>
      </c>
    </row>
    <row r="59" spans="1:32" s="1644" customFormat="1" ht="11.55" customHeight="1">
      <c r="A59" s="990"/>
      <c s="1639"/>
      <c s="1639"/>
      <c s="354"/>
      <c r="K59" s="1163"/>
      <c s="1639"/>
      <c s="1639"/>
      <c s="1163"/>
      <c s="1163"/>
      <c s="1163"/>
      <c s="1163"/>
      <c s="1639"/>
      <c s="1163"/>
      <c s="1163"/>
      <c s="547"/>
      <c s="1163"/>
      <c s="1163"/>
      <c s="1163"/>
      <c s="1163"/>
      <c s="1163"/>
      <c s="1635"/>
      <c s="569"/>
      <c s="569"/>
      <c s="569"/>
      <c s="569"/>
      <c s="1644">
        <v>11</v>
      </c>
    </row>
    <row r="60" spans="1:32" s="1644" customFormat="1" ht="11.55" customHeight="1">
      <c r="A60" s="990"/>
      <c s="1639"/>
      <c s="1639"/>
      <c s="354"/>
      <c r="K60" s="1163"/>
      <c s="1639"/>
      <c s="1639"/>
      <c s="1163"/>
      <c s="1163"/>
      <c s="1163"/>
      <c s="1163"/>
      <c s="1639"/>
      <c s="1163"/>
      <c s="1163"/>
      <c s="547"/>
      <c s="1163"/>
      <c s="1163"/>
      <c s="1163"/>
      <c s="1163"/>
      <c s="1163"/>
      <c s="1635"/>
      <c s="569"/>
      <c s="569"/>
      <c s="569"/>
      <c s="569"/>
      <c s="1644">
        <v>11</v>
      </c>
    </row>
    <row r="61" spans="1:32" s="1644" customFormat="1" ht="11.55" customHeight="1">
      <c r="A61" s="990"/>
      <c s="1639"/>
      <c s="1639"/>
      <c s="354"/>
      <c r="K61" s="1163"/>
      <c s="1639"/>
      <c s="1639"/>
      <c s="1163"/>
      <c s="1163"/>
      <c s="1163"/>
      <c s="1163"/>
      <c s="1639"/>
      <c s="1163"/>
      <c s="1163"/>
      <c s="547"/>
      <c s="1163"/>
      <c s="1163"/>
      <c s="1163"/>
      <c s="1163"/>
      <c s="1163"/>
      <c s="1635"/>
      <c s="569"/>
      <c s="569"/>
      <c s="569"/>
      <c s="569"/>
      <c s="1644">
        <v>11</v>
      </c>
    </row>
    <row r="62" spans="1:32" s="1644" customFormat="1" ht="11.55" customHeight="1">
      <c r="A62" s="990"/>
      <c s="1639"/>
      <c s="1639"/>
      <c s="354"/>
      <c r="K62" s="1163"/>
      <c s="1639"/>
      <c s="1639"/>
      <c s="1163"/>
      <c s="1163"/>
      <c s="1163"/>
      <c s="1163"/>
      <c s="1639"/>
      <c s="1163"/>
      <c s="1163"/>
      <c s="547"/>
      <c s="1163"/>
      <c s="1163"/>
      <c s="1163"/>
      <c s="1163"/>
      <c s="1163"/>
      <c s="1635"/>
      <c s="569"/>
      <c s="569"/>
      <c s="569"/>
      <c s="569"/>
      <c s="1644">
        <v>11</v>
      </c>
    </row>
    <row r="63" spans="1:32" s="1644" customFormat="1" ht="11.55" customHeight="1">
      <c r="A63" s="990"/>
      <c s="1639"/>
      <c s="1639"/>
      <c s="354"/>
      <c r="K63" s="1163"/>
      <c s="1639"/>
      <c s="1639"/>
      <c s="1163"/>
      <c s="1163"/>
      <c s="1163"/>
      <c s="1163"/>
      <c s="1639"/>
      <c s="1163"/>
      <c s="1163"/>
      <c s="547"/>
      <c s="1163"/>
      <c s="1163"/>
      <c s="1163"/>
      <c s="1163"/>
      <c s="1163"/>
      <c s="1635"/>
      <c s="569"/>
      <c s="569"/>
      <c s="569"/>
      <c s="569"/>
      <c s="1644">
        <v>11</v>
      </c>
    </row>
    <row r="64" spans="1:32" s="1644" customFormat="1" ht="11.55" customHeight="1">
      <c r="A64" s="990"/>
      <c s="1639"/>
      <c s="1639"/>
      <c s="354"/>
      <c r="K64" s="1163"/>
      <c s="1639"/>
      <c s="1639"/>
      <c s="1163"/>
      <c s="1163"/>
      <c s="1163"/>
      <c s="1163"/>
      <c s="1639"/>
      <c s="1163"/>
      <c s="1163"/>
      <c s="547"/>
      <c s="1163"/>
      <c s="1163"/>
      <c s="1163"/>
      <c s="1163"/>
      <c s="1163"/>
      <c s="1635"/>
      <c s="569"/>
      <c s="569"/>
      <c s="569"/>
      <c s="569"/>
      <c s="1644">
        <v>11</v>
      </c>
    </row>
    <row r="65" spans="1:32" s="1644" customFormat="1" ht="11.55" customHeight="1">
      <c r="A65" s="990"/>
      <c s="1639"/>
      <c s="1639"/>
      <c s="354"/>
      <c r="K65" s="1163"/>
      <c s="1639"/>
      <c s="1639"/>
      <c s="1163"/>
      <c s="1163"/>
      <c s="1163"/>
      <c s="1163"/>
      <c s="1639"/>
      <c s="1163"/>
      <c s="1163"/>
      <c s="547"/>
      <c s="1163"/>
      <c s="1163"/>
      <c s="1163"/>
      <c s="1163"/>
      <c s="1163"/>
      <c s="1635"/>
      <c s="569"/>
      <c s="569"/>
      <c s="569"/>
      <c s="569"/>
      <c s="1644">
        <v>11</v>
      </c>
    </row>
    <row r="66" spans="1:32" s="1644" customFormat="1" ht="11.55" customHeight="1">
      <c r="A66" s="990"/>
      <c s="1639"/>
      <c s="1639"/>
      <c s="354"/>
      <c r="K66" s="1163"/>
      <c s="1639"/>
      <c s="1639"/>
      <c s="1163"/>
      <c s="1163"/>
      <c s="1163"/>
      <c s="1163"/>
      <c s="1639"/>
      <c s="1163"/>
      <c s="1163"/>
      <c s="547"/>
      <c s="1163"/>
      <c s="1163"/>
      <c s="1163"/>
      <c s="1163"/>
      <c s="1163"/>
      <c s="1635"/>
      <c s="569"/>
      <c s="569"/>
      <c s="569"/>
      <c s="569"/>
      <c s="1644">
        <v>11</v>
      </c>
    </row>
    <row r="67" spans="1:32" s="1644" customFormat="1" ht="11.55" customHeight="1">
      <c r="A67" s="990"/>
      <c s="1639"/>
      <c s="1639"/>
      <c s="354"/>
      <c r="K67" s="1163"/>
      <c s="1639"/>
      <c s="1639"/>
      <c s="1163"/>
      <c s="1163"/>
      <c s="1163"/>
      <c s="1163"/>
      <c s="1639"/>
      <c s="1163"/>
      <c s="1163"/>
      <c s="547"/>
      <c s="1163"/>
      <c s="1163"/>
      <c s="1163"/>
      <c s="1163"/>
      <c s="1163"/>
      <c s="1635"/>
      <c s="569"/>
      <c s="569"/>
      <c s="569"/>
      <c s="569"/>
      <c s="1644">
        <v>11</v>
      </c>
    </row>
    <row r="68" spans="1:32" s="1644" customFormat="1" ht="11.55" customHeight="1">
      <c r="A68" s="990"/>
      <c s="1639"/>
      <c s="1639"/>
      <c s="354"/>
      <c r="K68" s="1163"/>
      <c s="1639"/>
      <c s="1639"/>
      <c s="1163"/>
      <c s="1163"/>
      <c s="1163"/>
      <c s="1163"/>
      <c s="1639"/>
      <c s="1163"/>
      <c s="1163"/>
      <c s="547"/>
      <c s="1163"/>
      <c s="1163"/>
      <c s="1163"/>
      <c s="1163"/>
      <c s="1163"/>
      <c s="1635"/>
      <c s="569"/>
      <c s="569"/>
      <c s="569"/>
      <c s="569"/>
      <c s="1644">
        <v>11</v>
      </c>
    </row>
    <row r="69" spans="1:32" s="1644" customFormat="1" ht="11.55" customHeight="1">
      <c r="A69" s="990"/>
      <c s="1639"/>
      <c s="1639"/>
      <c s="354"/>
      <c r="K69" s="1163"/>
      <c s="1639"/>
      <c s="1639"/>
      <c s="1163"/>
      <c s="1163"/>
      <c s="1163"/>
      <c s="1163"/>
      <c s="1639"/>
      <c s="1163"/>
      <c s="1163"/>
      <c s="547"/>
      <c s="1163"/>
      <c s="1163"/>
      <c s="1163"/>
      <c s="1163"/>
      <c s="1163"/>
      <c s="1635"/>
      <c s="569"/>
      <c s="569"/>
      <c s="569"/>
      <c s="569"/>
      <c s="1644">
        <v>11</v>
      </c>
    </row>
    <row r="70" spans="1:32" s="1644" customFormat="1" ht="11.55" customHeight="1">
      <c r="A70" s="990"/>
      <c s="1639"/>
      <c s="1639"/>
      <c s="354"/>
      <c r="K70" s="1163"/>
      <c s="1639"/>
      <c s="1639"/>
      <c s="1163"/>
      <c s="1163"/>
      <c s="1163"/>
      <c s="1163"/>
      <c s="1639"/>
      <c s="1163"/>
      <c s="1163"/>
      <c s="547"/>
      <c s="1163"/>
      <c s="1163"/>
      <c s="1163"/>
      <c s="1163"/>
      <c s="1163"/>
      <c s="1635"/>
      <c s="569"/>
      <c s="569"/>
      <c s="569"/>
      <c s="569"/>
      <c s="1644">
        <v>11</v>
      </c>
    </row>
    <row r="71" spans="1:32" s="1644" customFormat="1" ht="11.55" customHeight="1">
      <c r="A71" s="990"/>
      <c s="1639"/>
      <c s="1639"/>
      <c s="354"/>
      <c r="K71" s="1163"/>
      <c s="1639"/>
      <c s="1639"/>
      <c s="1163"/>
      <c s="1163"/>
      <c s="1163"/>
      <c s="1163"/>
      <c s="1639"/>
      <c s="1163"/>
      <c s="1163"/>
      <c s="547"/>
      <c s="1163"/>
      <c s="1163"/>
      <c s="1163"/>
      <c s="1163"/>
      <c s="1163"/>
      <c s="1635"/>
      <c s="569"/>
      <c s="569"/>
      <c s="569"/>
      <c s="569"/>
      <c s="1644">
        <v>11</v>
      </c>
    </row>
    <row r="72" spans="1:32" s="1644" customFormat="1" ht="11.55" customHeight="1">
      <c r="A72" s="990"/>
      <c s="1639"/>
      <c s="1639"/>
      <c s="354"/>
      <c r="K72" s="1163"/>
      <c s="1639"/>
      <c s="1639"/>
      <c s="1163"/>
      <c s="1163"/>
      <c s="1163"/>
      <c s="1163"/>
      <c s="1639"/>
      <c s="1163"/>
      <c s="1163"/>
      <c s="547"/>
      <c s="1163"/>
      <c s="1163"/>
      <c s="1163"/>
      <c s="1163"/>
      <c s="1163"/>
      <c s="1635"/>
      <c s="569"/>
      <c s="569"/>
      <c s="569"/>
      <c s="569"/>
      <c s="1644">
        <v>11</v>
      </c>
    </row>
    <row r="73" spans="1:32" s="1644" customFormat="1" ht="11.55" customHeight="1">
      <c r="A73" s="990"/>
      <c s="1639"/>
      <c s="1639"/>
      <c s="354"/>
      <c r="K73" s="1163"/>
      <c s="1639"/>
      <c s="1639"/>
      <c s="1163"/>
      <c s="1163"/>
      <c s="1163"/>
      <c s="1163"/>
      <c s="1639"/>
      <c s="1163"/>
      <c s="1163"/>
      <c s="547"/>
      <c s="1163"/>
      <c s="1163"/>
      <c s="1163"/>
      <c s="1163"/>
      <c s="1163"/>
      <c s="1635"/>
      <c s="569"/>
      <c s="569"/>
      <c s="569"/>
      <c s="569"/>
      <c s="1644">
        <v>11</v>
      </c>
    </row>
    <row r="74" spans="1:32" s="1644" customFormat="1" ht="11.55" customHeight="1">
      <c r="A74" s="990"/>
      <c s="1639"/>
      <c s="1639"/>
      <c s="354"/>
      <c r="K74" s="1163"/>
      <c s="1639"/>
      <c s="1639"/>
      <c s="1163"/>
      <c s="1163"/>
      <c s="1163"/>
      <c s="1163"/>
      <c s="1639"/>
      <c s="1163"/>
      <c s="1163"/>
      <c s="547"/>
      <c s="1163"/>
      <c s="1163"/>
      <c s="1163"/>
      <c s="1163"/>
      <c s="1163"/>
      <c s="1635"/>
      <c s="569"/>
      <c s="569"/>
      <c s="569"/>
      <c s="569"/>
      <c s="1644">
        <v>11</v>
      </c>
    </row>
    <row r="75" spans="1:32" s="1644" customFormat="1" ht="11.55" customHeight="1">
      <c r="A75" s="990"/>
      <c s="1639"/>
      <c s="1639"/>
      <c s="354"/>
      <c r="K75" s="1163"/>
      <c s="1639"/>
      <c s="1639"/>
      <c s="1163"/>
      <c s="1163"/>
      <c s="1163"/>
      <c s="1163"/>
      <c s="1639"/>
      <c s="1163"/>
      <c s="1163"/>
      <c s="547"/>
      <c s="1163"/>
      <c s="1163"/>
      <c s="1163"/>
      <c s="1163"/>
      <c s="1163"/>
      <c s="1635"/>
      <c s="569"/>
      <c s="569"/>
      <c s="569"/>
      <c s="569"/>
      <c s="1644">
        <v>11</v>
      </c>
    </row>
    <row r="76" spans="1:32" s="1644" customFormat="1" ht="11.55" customHeight="1">
      <c r="A76" s="990"/>
      <c s="1639"/>
      <c s="1639"/>
      <c s="354"/>
      <c r="K76" s="1163"/>
      <c s="1639"/>
      <c s="1639"/>
      <c s="1163"/>
      <c s="1163"/>
      <c s="1163"/>
      <c s="1163"/>
      <c s="1639"/>
      <c s="1163"/>
      <c s="1163"/>
      <c s="547"/>
      <c s="1163"/>
      <c s="1163"/>
      <c s="1163"/>
      <c s="1163"/>
      <c s="1163"/>
      <c s="1635"/>
      <c s="569"/>
      <c s="569"/>
      <c s="569"/>
      <c s="569"/>
      <c s="1644">
        <v>11</v>
      </c>
    </row>
    <row r="77" spans="1:32" s="1644" customFormat="1" ht="11.55" customHeight="1">
      <c r="A77" s="990"/>
      <c s="1639"/>
      <c s="1639"/>
      <c s="354"/>
      <c r="K77" s="1163"/>
      <c s="1639"/>
      <c s="1639"/>
      <c s="1163"/>
      <c s="1163"/>
      <c s="1163"/>
      <c s="1163"/>
      <c s="1639"/>
      <c s="1163"/>
      <c s="1163"/>
      <c s="547"/>
      <c s="1163"/>
      <c s="1163"/>
      <c s="1163"/>
      <c s="1163"/>
      <c s="1163"/>
      <c s="1635"/>
      <c s="569"/>
      <c s="569"/>
      <c s="569"/>
      <c s="569"/>
      <c s="1644">
        <v>11</v>
      </c>
    </row>
    <row r="78" spans="1:32" s="1644" customFormat="1" ht="11.55" customHeight="1">
      <c r="A78" s="990"/>
      <c s="1639"/>
      <c s="1639"/>
      <c s="354"/>
      <c r="K78" s="1163"/>
      <c s="1639"/>
      <c s="1639"/>
      <c s="1163"/>
      <c s="1163"/>
      <c s="1163"/>
      <c s="1163"/>
      <c s="1639"/>
      <c s="1163"/>
      <c s="1163"/>
      <c s="547"/>
      <c s="1163"/>
      <c s="1163"/>
      <c s="1163"/>
      <c s="1163"/>
      <c s="1163"/>
      <c s="1635"/>
      <c s="569"/>
      <c s="569"/>
      <c s="569"/>
      <c s="569"/>
      <c s="1644">
        <v>11</v>
      </c>
    </row>
    <row r="79" spans="1:32" s="1644" customFormat="1" ht="11.55" customHeight="1">
      <c r="A79" s="990"/>
      <c s="1639"/>
      <c s="1639"/>
      <c s="354"/>
      <c r="K79" s="1163"/>
      <c s="1639"/>
      <c s="1639"/>
      <c s="1163"/>
      <c s="1163"/>
      <c s="1163"/>
      <c s="1163"/>
      <c s="1639"/>
      <c s="1163"/>
      <c s="1163"/>
      <c s="547"/>
      <c s="1163"/>
      <c s="1163"/>
      <c s="1163"/>
      <c s="1163"/>
      <c s="1163"/>
      <c s="1635"/>
      <c s="569"/>
      <c s="569"/>
      <c s="569"/>
      <c s="569"/>
      <c s="1644">
        <v>11</v>
      </c>
    </row>
    <row r="80" spans="1:32" s="1644" customFormat="1" ht="11.55" customHeight="1">
      <c r="A80" s="990"/>
      <c s="1639"/>
      <c s="1639"/>
      <c s="354"/>
      <c r="K80" s="1163"/>
      <c s="1639"/>
      <c s="1639"/>
      <c s="1163"/>
      <c s="1163"/>
      <c s="1163"/>
      <c s="1163"/>
      <c s="1639"/>
      <c s="1163"/>
      <c s="1163"/>
      <c s="547"/>
      <c s="1163"/>
      <c s="1163"/>
      <c s="1163"/>
      <c s="1163"/>
      <c s="1163"/>
      <c s="1635"/>
      <c s="569"/>
      <c s="569"/>
      <c s="569"/>
      <c s="569"/>
      <c s="1644">
        <v>11</v>
      </c>
    </row>
    <row r="81" spans="1:32" s="1644" customFormat="1" ht="11.55" customHeight="1">
      <c r="A81" s="990"/>
      <c s="1639"/>
      <c s="1639"/>
      <c s="354"/>
      <c r="K81" s="1163"/>
      <c s="1639"/>
      <c s="1639"/>
      <c s="1163"/>
      <c s="1163"/>
      <c s="1163"/>
      <c s="1163"/>
      <c s="1639"/>
      <c s="1163"/>
      <c s="1163"/>
      <c s="547"/>
      <c s="1163"/>
      <c s="1163"/>
      <c s="1163"/>
      <c s="1163"/>
      <c s="1163"/>
      <c s="1635"/>
      <c s="569"/>
      <c s="569"/>
      <c s="569"/>
      <c s="569"/>
      <c s="1644">
        <v>11</v>
      </c>
    </row>
    <row r="82" spans="1:32" s="1644" customFormat="1" ht="11.55" customHeight="1">
      <c r="A82" s="990"/>
      <c s="1639"/>
      <c s="1639"/>
      <c s="354"/>
      <c r="K82" s="1163"/>
      <c s="1639"/>
      <c s="1639"/>
      <c s="1163"/>
      <c s="1163"/>
      <c s="1163"/>
      <c s="1163"/>
      <c s="1639"/>
      <c s="1163"/>
      <c s="1163"/>
      <c s="547"/>
      <c s="1163"/>
      <c s="1163"/>
      <c s="1163"/>
      <c s="1163"/>
      <c s="1163"/>
      <c s="1635"/>
      <c s="569"/>
      <c s="569"/>
      <c s="569"/>
      <c s="569"/>
      <c s="1644">
        <v>11</v>
      </c>
    </row>
    <row r="83" spans="1:32" s="1644" customFormat="1" ht="11.55" customHeight="1">
      <c r="A83" s="990"/>
      <c s="1639"/>
      <c s="1639"/>
      <c s="354"/>
      <c r="K83" s="1163"/>
      <c s="1639"/>
      <c s="1639"/>
      <c s="1163"/>
      <c s="1163"/>
      <c s="1163"/>
      <c s="1163"/>
      <c s="1639"/>
      <c s="1163"/>
      <c s="1163"/>
      <c s="547"/>
      <c s="1163"/>
      <c s="1163"/>
      <c s="1163"/>
      <c s="1163"/>
      <c s="1163"/>
      <c s="1635"/>
      <c s="569"/>
      <c s="569"/>
      <c s="569"/>
      <c s="569"/>
      <c s="1644">
        <v>11</v>
      </c>
    </row>
    <row r="84" spans="1:32" s="1644" customFormat="1" ht="11.55" customHeight="1">
      <c r="A84" s="990"/>
      <c s="1639"/>
      <c s="1639"/>
      <c s="354"/>
      <c r="K84" s="1163"/>
      <c s="1639"/>
      <c s="1639"/>
      <c s="1163"/>
      <c s="1163"/>
      <c s="1163"/>
      <c s="1163"/>
      <c s="1639"/>
      <c s="1163"/>
      <c s="1163"/>
      <c s="547"/>
      <c s="1163"/>
      <c s="1163"/>
      <c s="1163"/>
      <c s="1163"/>
      <c s="1163"/>
      <c s="1635"/>
      <c s="569"/>
      <c s="569"/>
      <c s="569"/>
      <c s="569"/>
      <c s="1644">
        <v>11</v>
      </c>
    </row>
    <row r="85" spans="1:32" s="1644" customFormat="1" ht="11.55" customHeight="1">
      <c r="A85" s="990"/>
      <c s="1639"/>
      <c s="1639"/>
      <c s="354"/>
      <c r="K85" s="1163"/>
      <c s="1639"/>
      <c s="1639"/>
      <c s="1163"/>
      <c s="1163"/>
      <c s="1163"/>
      <c s="1163"/>
      <c s="1639"/>
      <c s="1163"/>
      <c s="1163"/>
      <c s="547"/>
      <c s="1163"/>
      <c s="1163"/>
      <c s="1163"/>
      <c s="1163"/>
      <c s="1163"/>
      <c s="1635"/>
      <c s="569"/>
      <c s="569"/>
      <c s="569"/>
      <c s="569"/>
      <c s="1644">
        <v>11</v>
      </c>
    </row>
    <row r="86" spans="1:32" s="1644" customFormat="1" ht="11.55" customHeight="1">
      <c r="A86" s="990"/>
      <c s="1639"/>
      <c s="1639"/>
      <c s="354"/>
      <c r="K86" s="1163"/>
      <c s="1639"/>
      <c s="1639"/>
      <c s="1163"/>
      <c s="1163"/>
      <c s="1163"/>
      <c s="1163"/>
      <c s="1639"/>
      <c s="1163"/>
      <c s="1163"/>
      <c s="547"/>
      <c s="1163"/>
      <c s="1163"/>
      <c s="1163"/>
      <c s="1163"/>
      <c s="1163"/>
      <c s="1635"/>
      <c s="569"/>
      <c s="569"/>
      <c s="569"/>
      <c s="569"/>
      <c s="1644">
        <v>11</v>
      </c>
    </row>
    <row r="87" spans="1:32" s="1644" customFormat="1" ht="11.55" customHeight="1">
      <c r="A87" s="990"/>
      <c s="1639"/>
      <c s="1639"/>
      <c s="354"/>
      <c r="K87" s="1163"/>
      <c s="1639"/>
      <c s="1639"/>
      <c s="1163"/>
      <c s="1163"/>
      <c s="1163"/>
      <c s="1163"/>
      <c s="1639"/>
      <c s="1163"/>
      <c s="1163"/>
      <c s="547"/>
      <c s="1163"/>
      <c s="1163"/>
      <c s="1163"/>
      <c s="1163"/>
      <c s="1163"/>
      <c s="1635"/>
      <c s="569"/>
      <c s="569"/>
      <c s="569"/>
      <c s="569"/>
      <c s="1644">
        <v>11</v>
      </c>
    </row>
    <row r="88" spans="1:32" s="1644" customFormat="1" ht="11.55" customHeight="1">
      <c r="A88" s="990"/>
      <c s="1639"/>
      <c s="1639"/>
      <c s="354"/>
      <c r="K88" s="1163"/>
      <c s="1639"/>
      <c s="1639"/>
      <c s="1163"/>
      <c s="1163"/>
      <c s="1163"/>
      <c s="1163"/>
      <c s="1639"/>
      <c s="1163"/>
      <c s="1163"/>
      <c s="547"/>
      <c s="1163"/>
      <c s="1163"/>
      <c s="1163"/>
      <c s="1163"/>
      <c s="1163"/>
      <c s="1635"/>
      <c s="569"/>
      <c s="569"/>
      <c s="569"/>
      <c s="569"/>
      <c s="1644">
        <v>11</v>
      </c>
    </row>
    <row r="89" spans="1:32" s="1644" customFormat="1" ht="11.55" customHeight="1">
      <c r="A89" s="990"/>
      <c s="1639"/>
      <c s="1639"/>
      <c s="354"/>
      <c r="K89" s="1163"/>
      <c s="1639"/>
      <c s="1639"/>
      <c s="1163"/>
      <c s="1163"/>
      <c s="1163"/>
      <c s="1163"/>
      <c s="1639"/>
      <c s="1163"/>
      <c s="1163"/>
      <c s="547"/>
      <c s="1163"/>
      <c s="1163"/>
      <c s="1163"/>
      <c s="1163"/>
      <c s="1163"/>
      <c s="1635"/>
      <c s="569"/>
      <c s="569"/>
      <c s="569"/>
      <c s="569"/>
      <c s="1644">
        <v>11</v>
      </c>
    </row>
    <row r="90" spans="1:32" s="1644" customFormat="1" ht="11.55" customHeight="1">
      <c r="A90" s="990"/>
      <c s="1639"/>
      <c s="1639"/>
      <c s="354"/>
      <c r="K90" s="1163"/>
      <c s="1639"/>
      <c s="1639"/>
      <c s="1163"/>
      <c s="1163"/>
      <c s="1163"/>
      <c s="1163"/>
      <c s="1639"/>
      <c s="1163"/>
      <c s="1163"/>
      <c s="547"/>
      <c s="1163"/>
      <c s="1163"/>
      <c s="1163"/>
      <c s="1163"/>
      <c s="1163"/>
      <c s="1635"/>
      <c s="569"/>
      <c s="569"/>
      <c s="569"/>
      <c s="569"/>
      <c s="1644">
        <v>11</v>
      </c>
    </row>
    <row r="91" spans="1:32" s="1644" customFormat="1" ht="11.55" customHeight="1">
      <c r="A91" s="990"/>
      <c s="1639"/>
      <c s="1639"/>
      <c s="354"/>
      <c r="K91" s="1163"/>
      <c s="1639"/>
      <c s="1639"/>
      <c s="1163"/>
      <c s="1163"/>
      <c s="1163"/>
      <c s="1163"/>
      <c s="1639"/>
      <c s="1163"/>
      <c s="1163"/>
      <c s="547"/>
      <c s="1163"/>
      <c s="1163"/>
      <c s="1163"/>
      <c s="1163"/>
      <c s="1163"/>
      <c s="1635"/>
      <c s="569"/>
      <c s="569"/>
      <c s="569"/>
      <c s="569"/>
      <c s="1644">
        <v>11</v>
      </c>
    </row>
    <row r="92" spans="1:32" s="1644" customFormat="1" ht="11.55" customHeight="1">
      <c r="A92" s="990"/>
      <c s="1639"/>
      <c s="1639"/>
      <c s="354"/>
      <c r="K92" s="1163"/>
      <c s="1639"/>
      <c s="1639"/>
      <c s="1163"/>
      <c s="1163"/>
      <c s="1163"/>
      <c s="1163"/>
      <c s="1639"/>
      <c s="1163"/>
      <c s="1163"/>
      <c s="547"/>
      <c s="1163"/>
      <c s="1163"/>
      <c s="1163"/>
      <c s="1163"/>
      <c s="1163"/>
      <c s="1635"/>
      <c s="569"/>
      <c s="569"/>
      <c s="569"/>
      <c s="569"/>
      <c s="1644">
        <v>11</v>
      </c>
    </row>
    <row r="93" spans="1:32" s="1644" customFormat="1" ht="11.55" customHeight="1">
      <c r="A93" s="990"/>
      <c s="1639"/>
      <c s="1639"/>
      <c s="354"/>
      <c r="K93" s="1163"/>
      <c s="1639"/>
      <c s="1639"/>
      <c s="1163"/>
      <c s="1163"/>
      <c s="1163"/>
      <c s="1163"/>
      <c s="1639"/>
      <c s="1163"/>
      <c s="1163"/>
      <c s="547"/>
      <c s="1163"/>
      <c s="1163"/>
      <c s="1163"/>
      <c s="1163"/>
      <c s="1163"/>
      <c s="1635"/>
      <c s="569"/>
      <c s="569"/>
      <c s="569"/>
      <c s="569"/>
      <c s="1644">
        <v>11</v>
      </c>
    </row>
    <row r="94" spans="1:32" s="1644" customFormat="1" ht="11.55" customHeight="1">
      <c r="A94" s="990"/>
      <c s="1639"/>
      <c s="1639"/>
      <c s="354"/>
      <c r="K94" s="1163"/>
      <c s="1639"/>
      <c s="1639"/>
      <c s="1163"/>
      <c s="1163"/>
      <c s="1163"/>
      <c s="1163"/>
      <c s="1639"/>
      <c s="1163"/>
      <c s="1163"/>
      <c s="547"/>
      <c s="1163"/>
      <c s="1163"/>
      <c s="1163"/>
      <c s="1163"/>
      <c s="1163"/>
      <c s="1635"/>
      <c s="569"/>
      <c s="569"/>
      <c s="569"/>
      <c s="569"/>
      <c s="1644">
        <v>11</v>
      </c>
    </row>
    <row r="95" spans="1:32" s="1644" customFormat="1" ht="11.55" customHeight="1">
      <c r="A95" s="990"/>
      <c s="1639"/>
      <c s="1639"/>
      <c s="354"/>
      <c r="K95" s="1163"/>
      <c s="1639"/>
      <c s="1639"/>
      <c s="1163"/>
      <c s="1163"/>
      <c s="1163"/>
      <c s="1163"/>
      <c s="1639"/>
      <c s="1163"/>
      <c s="1163"/>
      <c s="547"/>
      <c s="1163"/>
      <c s="1163"/>
      <c s="1163"/>
      <c s="1163"/>
      <c s="1163"/>
      <c s="1635"/>
      <c s="569"/>
      <c s="569"/>
      <c s="569"/>
      <c s="569"/>
      <c s="1644">
        <v>11</v>
      </c>
    </row>
    <row r="96" spans="1:32" s="1644" customFormat="1" ht="11.55" customHeight="1">
      <c r="A96" s="990"/>
      <c s="1639"/>
      <c s="1639"/>
      <c s="354"/>
      <c r="K96" s="1163"/>
      <c s="1639"/>
      <c s="1639"/>
      <c s="1163"/>
      <c s="1163"/>
      <c s="1163"/>
      <c s="1163"/>
      <c s="1639"/>
      <c s="1163"/>
      <c s="1163"/>
      <c s="547"/>
      <c s="1163"/>
      <c s="1163"/>
      <c s="1163"/>
      <c s="1163"/>
      <c s="1163"/>
      <c s="1635"/>
      <c s="569"/>
      <c s="569"/>
      <c s="569"/>
      <c s="569"/>
      <c s="1644">
        <v>11</v>
      </c>
    </row>
    <row r="97" spans="1:32" s="1644" customFormat="1" ht="11.55" customHeight="1">
      <c r="A97" s="990"/>
      <c s="1639"/>
      <c s="1639"/>
      <c s="354"/>
      <c r="K97" s="1163"/>
      <c s="1639"/>
      <c s="1639"/>
      <c s="1163"/>
      <c s="1163"/>
      <c s="1163"/>
      <c s="1163"/>
      <c s="1639"/>
      <c s="1163"/>
      <c s="1163"/>
      <c s="547"/>
      <c s="1163"/>
      <c s="1163"/>
      <c s="1163"/>
      <c s="1163"/>
      <c s="1163"/>
      <c s="1635"/>
      <c s="569"/>
      <c s="569"/>
      <c s="569"/>
      <c s="569"/>
      <c s="1644">
        <v>11</v>
      </c>
    </row>
    <row r="98" spans="1:32" s="1644" customFormat="1" ht="11.55" customHeight="1">
      <c r="A98" s="990"/>
      <c s="1639"/>
      <c s="1639"/>
      <c s="354"/>
      <c r="K98" s="1163"/>
      <c s="1639"/>
      <c s="1639"/>
      <c s="1163"/>
      <c s="1163"/>
      <c s="1163"/>
      <c s="1163"/>
      <c s="1639"/>
      <c s="1163"/>
      <c s="1163"/>
      <c s="547"/>
      <c s="1163"/>
      <c s="1163"/>
      <c s="1163"/>
      <c s="1163"/>
      <c s="1163"/>
      <c s="1635"/>
      <c s="569"/>
      <c s="569"/>
      <c s="569"/>
      <c s="569"/>
      <c s="1644">
        <v>11</v>
      </c>
    </row>
    <row r="99" spans="1:32" s="1644" customFormat="1" ht="11.55" customHeight="1">
      <c r="A99" s="990"/>
      <c s="1639"/>
      <c s="1639"/>
      <c s="354"/>
      <c r="K99" s="1163"/>
      <c s="1639"/>
      <c s="1639"/>
      <c s="1163"/>
      <c s="1163"/>
      <c s="1163"/>
      <c s="1163"/>
      <c s="1639"/>
      <c s="1163"/>
      <c s="1163"/>
      <c s="547"/>
      <c s="1163"/>
      <c s="1163"/>
      <c s="1163"/>
      <c s="1163"/>
      <c s="1163"/>
      <c s="1635"/>
      <c s="569"/>
      <c s="569"/>
      <c s="569"/>
      <c s="569"/>
      <c s="1644">
        <v>11</v>
      </c>
    </row>
    <row r="100" spans="1:32" s="1644" customFormat="1" ht="11.55" customHeight="1">
      <c r="A100" s="990"/>
      <c s="1639"/>
      <c s="1639"/>
      <c s="354"/>
      <c r="K100" s="1163"/>
      <c s="1639"/>
      <c s="1639"/>
      <c s="1163"/>
      <c s="1163"/>
      <c s="1163"/>
      <c s="1163"/>
      <c s="1639"/>
      <c s="1163"/>
      <c s="1163"/>
      <c s="547"/>
      <c s="1163"/>
      <c s="1163"/>
      <c s="1163"/>
      <c s="1163"/>
      <c s="1163"/>
      <c s="1635"/>
      <c s="569"/>
      <c s="569"/>
      <c s="569"/>
      <c s="569"/>
      <c s="1644">
        <v>11</v>
      </c>
    </row>
    <row r="101" spans="1:32" s="1644" customFormat="1" ht="11.55" customHeight="1">
      <c r="A101" s="990"/>
      <c s="1639"/>
      <c s="1639"/>
      <c s="354"/>
      <c r="K101" s="1163"/>
      <c s="1639"/>
      <c s="1639"/>
      <c s="1163"/>
      <c s="1163"/>
      <c s="1163"/>
      <c s="1163"/>
      <c s="1639"/>
      <c s="1163"/>
      <c s="1163"/>
      <c s="547"/>
      <c s="1163"/>
      <c s="1163"/>
      <c s="1163"/>
      <c s="1163"/>
      <c s="1163"/>
      <c s="1635"/>
      <c s="569"/>
      <c s="569"/>
      <c s="569"/>
      <c s="569"/>
      <c s="1644">
        <v>11</v>
      </c>
    </row>
    <row r="102" spans="1:32" s="1644" customFormat="1" ht="11.55" customHeight="1">
      <c r="A102" s="990"/>
      <c s="1639"/>
      <c s="1639"/>
      <c s="354"/>
      <c r="K102" s="1163"/>
      <c s="1639"/>
      <c s="1639"/>
      <c s="1163"/>
      <c s="1163"/>
      <c s="1163"/>
      <c s="1163"/>
      <c s="1639"/>
      <c s="1163"/>
      <c s="1163"/>
      <c s="547"/>
      <c s="1163"/>
      <c s="1163"/>
      <c s="1163"/>
      <c s="1163"/>
      <c s="1163"/>
      <c s="1635"/>
      <c s="569"/>
      <c s="569"/>
      <c s="569"/>
      <c s="569"/>
      <c s="1644">
        <v>11</v>
      </c>
    </row>
    <row r="103" spans="1:32" s="1644" customFormat="1" ht="11.55" customHeight="1">
      <c r="A103" s="990"/>
      <c s="1639"/>
      <c s="1639"/>
      <c s="354"/>
      <c r="K103" s="1163"/>
      <c s="1639"/>
      <c s="1639"/>
      <c s="1163"/>
      <c s="1163"/>
      <c s="1163"/>
      <c s="1163"/>
      <c s="1639"/>
      <c s="1163"/>
      <c s="1163"/>
      <c s="547"/>
      <c s="1163"/>
      <c s="1163"/>
      <c s="1163"/>
      <c s="1163"/>
      <c s="1163"/>
      <c s="1635"/>
      <c s="569"/>
      <c s="569"/>
      <c s="569"/>
      <c s="569"/>
      <c s="1644">
        <v>11</v>
      </c>
    </row>
    <row r="104" spans="1:32" s="1644" customFormat="1" ht="11.55" customHeight="1">
      <c r="A104" s="990"/>
      <c s="1639"/>
      <c s="1639"/>
      <c s="354"/>
      <c r="K104" s="1163"/>
      <c s="1639"/>
      <c s="1639"/>
      <c s="1163"/>
      <c s="1163"/>
      <c s="1163"/>
      <c s="1163"/>
      <c s="1639"/>
      <c s="1163"/>
      <c s="1163"/>
      <c s="547"/>
      <c s="1163"/>
      <c s="1163"/>
      <c s="1163"/>
      <c s="1163"/>
      <c s="1163"/>
      <c s="1635"/>
      <c s="569"/>
      <c s="569"/>
      <c s="569"/>
      <c s="569"/>
      <c s="1644">
        <v>11</v>
      </c>
    </row>
    <row r="105" spans="1:32" s="1644" customFormat="1" ht="11.55" customHeight="1">
      <c r="A105" s="990"/>
      <c s="1639"/>
      <c s="1639"/>
      <c s="354"/>
      <c r="K105" s="1163"/>
      <c s="1639"/>
      <c s="1639"/>
      <c s="1163"/>
      <c s="1163"/>
      <c s="1163"/>
      <c s="1163"/>
      <c s="1639"/>
      <c s="1163"/>
      <c s="1163"/>
      <c s="547"/>
      <c s="1163"/>
      <c s="1163"/>
      <c s="1163"/>
      <c s="1163"/>
      <c s="1163"/>
      <c s="1635"/>
      <c s="569"/>
      <c s="569"/>
      <c s="569"/>
      <c s="569"/>
      <c s="1644">
        <v>11</v>
      </c>
    </row>
    <row r="106" spans="1:32" s="1644" customFormat="1" ht="11.55" customHeight="1">
      <c r="A106" s="990"/>
      <c s="1639"/>
      <c s="1639"/>
      <c s="354"/>
      <c r="K106" s="1163"/>
      <c s="1639"/>
      <c s="1639"/>
      <c s="1163"/>
      <c s="1163"/>
      <c s="1163"/>
      <c s="1163"/>
      <c s="1639"/>
      <c s="1163"/>
      <c s="1163"/>
      <c s="547"/>
      <c s="1163"/>
      <c s="1163"/>
      <c s="1163"/>
      <c s="1163"/>
      <c s="1163"/>
      <c s="1635"/>
      <c s="569"/>
      <c s="569"/>
      <c s="569"/>
      <c s="569"/>
      <c s="1644">
        <v>11</v>
      </c>
    </row>
    <row r="107" spans="1:32" s="1644" customFormat="1" ht="11.55" customHeight="1">
      <c r="A107" s="990"/>
      <c s="1639"/>
      <c s="1639"/>
      <c s="354"/>
      <c r="K107" s="1163"/>
      <c s="1639"/>
      <c s="1639"/>
      <c s="1163"/>
      <c s="1163"/>
      <c s="1163"/>
      <c s="1163"/>
      <c s="1639"/>
      <c s="1163"/>
      <c s="1163"/>
      <c s="547"/>
      <c s="1163"/>
      <c s="1163"/>
      <c s="1163"/>
      <c s="1163"/>
      <c s="1163"/>
      <c s="1635"/>
      <c s="569"/>
      <c s="569"/>
      <c s="569"/>
      <c s="569"/>
      <c s="1644">
        <v>11</v>
      </c>
    </row>
    <row r="108" spans="1:32" s="1644" customFormat="1" ht="11.55" customHeight="1">
      <c r="A108" s="990"/>
      <c s="1639"/>
      <c s="1639"/>
      <c s="354"/>
      <c r="K108" s="1163"/>
      <c s="1639"/>
      <c s="1639"/>
      <c s="1163"/>
      <c s="1163"/>
      <c s="1163"/>
      <c s="1163"/>
      <c s="1639"/>
      <c s="1163"/>
      <c s="1163"/>
      <c s="547"/>
      <c s="1163"/>
      <c s="1163"/>
      <c s="1163"/>
      <c s="1163"/>
      <c s="1163"/>
      <c s="1635"/>
      <c s="569"/>
      <c s="569"/>
      <c s="569"/>
      <c s="569"/>
      <c s="1644">
        <v>11</v>
      </c>
    </row>
    <row r="109" spans="1:32" s="1644" customFormat="1" ht="11.55" customHeight="1">
      <c r="A109" s="990"/>
      <c s="1639"/>
      <c s="1639"/>
      <c s="354"/>
      <c r="K109" s="1163"/>
      <c s="1639"/>
      <c s="1639"/>
      <c s="1163"/>
      <c s="1163"/>
      <c s="1163"/>
      <c s="1163"/>
      <c s="1639"/>
      <c s="1163"/>
      <c s="1163"/>
      <c s="547"/>
      <c s="1163"/>
      <c s="1163"/>
      <c s="1163"/>
      <c s="1163"/>
      <c s="1163"/>
      <c s="1635"/>
      <c s="569"/>
      <c s="569"/>
      <c s="569"/>
      <c s="569"/>
      <c s="1644">
        <v>11</v>
      </c>
    </row>
    <row r="110" spans="1:32" s="1644" customFormat="1" ht="11.55" customHeight="1">
      <c r="A110" s="990"/>
      <c s="1639"/>
      <c s="1639"/>
      <c s="354"/>
      <c r="K110" s="1163"/>
      <c s="1639"/>
      <c s="1639"/>
      <c s="1163"/>
      <c s="1163"/>
      <c s="1163"/>
      <c s="1163"/>
      <c s="1639"/>
      <c s="1163"/>
      <c s="1163"/>
      <c s="547"/>
      <c s="1163"/>
      <c s="1163"/>
      <c s="1163"/>
      <c s="1163"/>
      <c s="1163"/>
      <c s="1635"/>
      <c s="569"/>
      <c s="569"/>
      <c s="569"/>
      <c s="569"/>
      <c s="1644">
        <v>11</v>
      </c>
    </row>
    <row r="111" spans="1:32" s="1644" customFormat="1" ht="11.55" customHeight="1">
      <c r="A111" s="990"/>
      <c s="1639"/>
      <c s="1639"/>
      <c s="354"/>
      <c r="K111" s="1163"/>
      <c s="1639"/>
      <c s="1639"/>
      <c s="1163"/>
      <c s="1163"/>
      <c s="1163"/>
      <c s="1163"/>
      <c s="1639"/>
      <c s="1163"/>
      <c s="1163"/>
      <c s="547"/>
      <c s="1163"/>
      <c s="1163"/>
      <c s="1163"/>
      <c s="1163"/>
      <c s="1163"/>
      <c s="1635"/>
      <c s="569"/>
      <c s="569"/>
      <c s="569"/>
      <c s="569"/>
      <c s="1644">
        <v>11</v>
      </c>
    </row>
    <row r="112" spans="1:32" s="1644" customFormat="1" ht="11.55" customHeight="1">
      <c r="A112" s="990"/>
      <c s="1639"/>
      <c s="1639"/>
      <c s="354"/>
      <c r="K112" s="1163"/>
      <c s="1639"/>
      <c s="1639"/>
      <c s="1163"/>
      <c s="1163"/>
      <c s="1163"/>
      <c s="1163"/>
      <c s="1639"/>
      <c s="1163"/>
      <c s="1163"/>
      <c s="547"/>
      <c s="1163"/>
      <c s="1163"/>
      <c s="1163"/>
      <c s="1163"/>
      <c s="1163"/>
      <c s="1635"/>
      <c s="569"/>
      <c s="569"/>
      <c s="569"/>
      <c s="569"/>
      <c s="1644">
        <v>11</v>
      </c>
    </row>
    <row r="113" spans="1:32" s="1644" customFormat="1" ht="11.55" customHeight="1">
      <c r="A113" s="990"/>
      <c s="1639"/>
      <c s="1639"/>
      <c s="354"/>
      <c r="K113" s="1163"/>
      <c s="1639"/>
      <c s="1639"/>
      <c s="1163"/>
      <c s="1163"/>
      <c s="1163"/>
      <c s="1163"/>
      <c s="1639"/>
      <c s="1163"/>
      <c s="1163"/>
      <c s="547"/>
      <c s="1163"/>
      <c s="1163"/>
      <c s="1163"/>
      <c s="1163"/>
      <c s="1163"/>
      <c s="1635"/>
      <c s="569"/>
      <c s="569"/>
      <c s="569"/>
      <c s="569"/>
      <c s="1644">
        <v>11</v>
      </c>
    </row>
    <row r="114" spans="1:32" s="1644" customFormat="1" ht="11.55" customHeight="1">
      <c r="A114" s="990"/>
      <c s="1639"/>
      <c s="1639"/>
      <c s="354"/>
      <c r="K114" s="1163"/>
      <c s="1639"/>
      <c s="1639"/>
      <c s="1163"/>
      <c s="1163"/>
      <c s="1163"/>
      <c s="1163"/>
      <c s="1639"/>
      <c s="1163"/>
      <c s="1163"/>
      <c s="547"/>
      <c s="1163"/>
      <c s="1163"/>
      <c s="1163"/>
      <c s="1163"/>
      <c s="1163"/>
      <c s="1635"/>
      <c s="569"/>
      <c s="569"/>
      <c s="569"/>
      <c s="569"/>
      <c s="1644">
        <v>11</v>
      </c>
    </row>
    <row r="115" spans="1:32" s="1644" customFormat="1" ht="11.55" customHeight="1">
      <c r="A115" s="990"/>
      <c s="1639"/>
      <c s="1639"/>
      <c s="354"/>
      <c r="K115" s="1163"/>
      <c s="1639"/>
      <c s="1639"/>
      <c s="1163"/>
      <c s="1163"/>
      <c s="1163"/>
      <c s="1163"/>
      <c s="1639"/>
      <c s="1163"/>
      <c s="1163"/>
      <c s="547"/>
      <c s="1163"/>
      <c s="1163"/>
      <c s="1163"/>
      <c s="1163"/>
      <c s="1163"/>
      <c s="1635"/>
      <c s="569"/>
      <c s="569"/>
      <c s="569"/>
      <c s="569"/>
      <c s="1644">
        <v>11</v>
      </c>
    </row>
    <row r="116" spans="1:32" s="1644" customFormat="1" ht="11.55" customHeight="1">
      <c r="A116" s="990"/>
      <c s="1639"/>
      <c s="1639"/>
      <c s="354"/>
      <c r="K116" s="1163"/>
      <c s="1639"/>
      <c s="1639"/>
      <c s="1163"/>
      <c s="1163"/>
      <c s="1163"/>
      <c s="1163"/>
      <c s="1639"/>
      <c s="1163"/>
      <c s="1163"/>
      <c s="547"/>
      <c s="1163"/>
      <c s="1163"/>
      <c s="1163"/>
      <c s="1163"/>
      <c s="1163"/>
      <c s="1635"/>
      <c s="569"/>
      <c s="569"/>
      <c s="569"/>
      <c s="569"/>
      <c s="1644">
        <v>11</v>
      </c>
    </row>
    <row r="117" spans="1:32" s="1644" customFormat="1" ht="11.55" customHeight="1">
      <c r="A117" s="990"/>
      <c s="1639"/>
      <c s="1639"/>
      <c s="354"/>
      <c r="K117" s="1163"/>
      <c s="1639"/>
      <c s="1639"/>
      <c s="1163"/>
      <c s="1163"/>
      <c s="1163"/>
      <c s="1163"/>
      <c s="1639"/>
      <c s="1163"/>
      <c s="1163"/>
      <c s="547"/>
      <c s="1163"/>
      <c s="1163"/>
      <c s="1163"/>
      <c s="1163"/>
      <c s="1163"/>
      <c s="1635"/>
      <c s="569"/>
      <c s="569"/>
      <c s="569"/>
      <c s="569"/>
      <c s="1644">
        <v>11</v>
      </c>
    </row>
    <row r="118" spans="1:32" s="1644" customFormat="1" ht="11.55" customHeight="1">
      <c r="A118" s="990"/>
      <c s="1639"/>
      <c s="1639"/>
      <c s="354"/>
      <c r="K118" s="1163"/>
      <c s="1639"/>
      <c s="1639"/>
      <c s="1163"/>
      <c s="1163"/>
      <c s="1163"/>
      <c s="1163"/>
      <c s="1639"/>
      <c s="1163"/>
      <c s="1163"/>
      <c s="547"/>
      <c s="1163"/>
      <c s="1163"/>
      <c s="1163"/>
      <c s="1163"/>
      <c s="1163"/>
      <c s="1635"/>
      <c s="569"/>
      <c s="569"/>
      <c s="569"/>
      <c s="569"/>
      <c s="1644">
        <v>11</v>
      </c>
    </row>
    <row r="119" spans="1:32" s="1644" customFormat="1" ht="11.55" customHeight="1">
      <c r="A119" s="990"/>
      <c s="1639"/>
      <c s="1639"/>
      <c s="354"/>
      <c r="K119" s="1163"/>
      <c s="1639"/>
      <c s="1639"/>
      <c s="1163"/>
      <c s="1163"/>
      <c s="1163"/>
      <c s="1163"/>
      <c s="1639"/>
      <c s="1163"/>
      <c s="1163"/>
      <c s="547"/>
      <c s="1163"/>
      <c s="1163"/>
      <c s="1163"/>
      <c s="1163"/>
      <c s="1163"/>
      <c s="1635"/>
      <c s="569"/>
      <c s="569"/>
      <c s="569"/>
      <c s="569"/>
      <c s="1644">
        <v>11</v>
      </c>
    </row>
    <row r="120" spans="1:32" s="1644" customFormat="1" ht="11.55" customHeight="1">
      <c r="A120" s="990"/>
      <c s="1639"/>
      <c s="1639"/>
      <c s="354"/>
      <c r="K120" s="1163"/>
      <c s="1639"/>
      <c s="1639"/>
      <c s="1163"/>
      <c s="1163"/>
      <c s="1163"/>
      <c s="1163"/>
      <c s="1639"/>
      <c s="1163"/>
      <c s="1163"/>
      <c s="547"/>
      <c s="1163"/>
      <c s="1163"/>
      <c s="1163"/>
      <c s="1163"/>
      <c s="1163"/>
      <c s="1635"/>
      <c s="569"/>
      <c s="569"/>
      <c s="569"/>
      <c s="569"/>
      <c s="1644">
        <v>11</v>
      </c>
    </row>
    <row r="121" spans="1:32" s="1644" customFormat="1" ht="11.55" customHeight="1">
      <c r="A121" s="990"/>
      <c s="1639"/>
      <c s="1639"/>
      <c s="354"/>
      <c r="K121" s="1163"/>
      <c s="1639"/>
      <c s="1639"/>
      <c s="1163"/>
      <c s="1163"/>
      <c s="1163"/>
      <c s="1163"/>
      <c s="1639"/>
      <c s="1163"/>
      <c s="1163"/>
      <c s="547"/>
      <c s="1163"/>
      <c s="1163"/>
      <c s="1163"/>
      <c s="1163"/>
      <c s="1163"/>
      <c s="1635"/>
      <c s="569"/>
      <c s="569"/>
      <c s="569"/>
      <c s="569"/>
      <c s="1644">
        <v>11</v>
      </c>
    </row>
    <row r="122" spans="1:32" s="1644" customFormat="1" ht="11.55" customHeight="1">
      <c r="A122" s="990"/>
      <c s="1639"/>
      <c s="1639"/>
      <c s="354"/>
      <c r="K122" s="1163"/>
      <c s="1639"/>
      <c s="1639"/>
      <c s="1163"/>
      <c s="1163"/>
      <c s="1163"/>
      <c s="1163"/>
      <c s="1639"/>
      <c s="1163"/>
      <c s="1163"/>
      <c s="547"/>
      <c s="1163"/>
      <c s="1163"/>
      <c s="1163"/>
      <c s="1163"/>
      <c s="1163"/>
      <c s="1635"/>
      <c s="569"/>
      <c s="569"/>
      <c s="569"/>
      <c s="569"/>
      <c s="1644">
        <v>11</v>
      </c>
    </row>
    <row r="123" spans="1:32" s="1644" customFormat="1" ht="11.55" customHeight="1">
      <c r="A123" s="990"/>
      <c s="1639"/>
      <c s="1639"/>
      <c s="354"/>
      <c r="K123" s="1163"/>
      <c s="1639"/>
      <c s="1639"/>
      <c s="1163"/>
      <c s="1163"/>
      <c s="1163"/>
      <c s="1163"/>
      <c s="1639"/>
      <c s="1163"/>
      <c s="1163"/>
      <c s="547"/>
      <c s="1163"/>
      <c s="1163"/>
      <c s="1163"/>
      <c s="1163"/>
      <c s="1163"/>
      <c s="1635"/>
      <c s="569"/>
      <c s="569"/>
      <c s="569"/>
      <c s="569"/>
      <c s="1644">
        <v>11</v>
      </c>
    </row>
    <row r="124" spans="1:32" s="1644" customFormat="1" ht="11.55" customHeight="1">
      <c r="A124" s="990"/>
      <c s="1639"/>
      <c s="1639"/>
      <c s="354"/>
      <c r="K124" s="1163"/>
      <c s="1639"/>
      <c s="1639"/>
      <c s="1163"/>
      <c s="1163"/>
      <c s="1163"/>
      <c s="1163"/>
      <c s="1639"/>
      <c s="1163"/>
      <c s="1163"/>
      <c s="547"/>
      <c s="1163"/>
      <c s="1163"/>
      <c s="1163"/>
      <c s="1163"/>
      <c s="1163"/>
      <c s="1635"/>
      <c s="569"/>
      <c s="569"/>
      <c s="569"/>
      <c s="569"/>
      <c s="1644">
        <v>11</v>
      </c>
    </row>
    <row r="125" spans="1:32" s="1644" customFormat="1" ht="11.55" customHeight="1">
      <c r="A125" s="990"/>
      <c s="1639"/>
      <c s="1639"/>
      <c s="354"/>
      <c r="K125" s="1163"/>
      <c s="1639"/>
      <c s="1639"/>
      <c s="1163"/>
      <c s="1163"/>
      <c s="1163"/>
      <c s="1163"/>
      <c s="1639"/>
      <c s="1163"/>
      <c s="1163"/>
      <c s="547"/>
      <c s="1163"/>
      <c s="1163"/>
      <c s="1163"/>
      <c s="1163"/>
      <c s="1163"/>
      <c s="1635"/>
      <c s="569"/>
      <c s="569"/>
      <c s="569"/>
      <c s="569"/>
      <c s="1644">
        <v>11</v>
      </c>
    </row>
    <row r="126" spans="1:32" s="1644" customFormat="1" ht="11.55" customHeight="1">
      <c r="A126" s="990"/>
      <c s="1639"/>
      <c s="1639"/>
      <c s="354"/>
      <c r="K126" s="1163"/>
      <c s="1639"/>
      <c s="1639"/>
      <c s="1163"/>
      <c s="1163"/>
      <c s="1163"/>
      <c s="1163"/>
      <c s="1639"/>
      <c s="1163"/>
      <c s="1163"/>
      <c s="547"/>
      <c s="1163"/>
      <c s="1163"/>
      <c s="1163"/>
      <c s="1163"/>
      <c s="1163"/>
      <c s="1635"/>
      <c s="569"/>
      <c s="569"/>
      <c s="569"/>
      <c s="569"/>
      <c s="1644">
        <v>11</v>
      </c>
    </row>
    <row r="127" spans="1:32" s="1644" customFormat="1" ht="11.55" customHeight="1">
      <c r="A127" s="990"/>
      <c s="1639"/>
      <c s="1639"/>
      <c s="354"/>
      <c r="K127" s="1163"/>
      <c s="1639"/>
      <c s="1639"/>
      <c s="1163"/>
      <c s="1163"/>
      <c s="1163"/>
      <c s="1163"/>
      <c s="1639"/>
      <c s="1163"/>
      <c s="1163"/>
      <c s="547"/>
      <c s="1163"/>
      <c s="1163"/>
      <c s="1163"/>
      <c s="1163"/>
      <c s="1163"/>
      <c s="1635"/>
      <c s="569"/>
      <c s="569"/>
      <c s="569"/>
      <c s="569"/>
      <c s="1644">
        <v>11</v>
      </c>
    </row>
    <row r="128" spans="1:32" s="1644" customFormat="1" ht="11.55" customHeight="1">
      <c r="A128" s="990"/>
      <c s="1639"/>
      <c s="1639"/>
      <c s="354"/>
      <c r="K128" s="1163"/>
      <c s="1639"/>
      <c s="1639"/>
      <c s="1163"/>
      <c s="1163"/>
      <c s="1163"/>
      <c s="1163"/>
      <c s="1639"/>
      <c s="1163"/>
      <c s="1163"/>
      <c s="547"/>
      <c s="1163"/>
      <c s="1163"/>
      <c s="1163"/>
      <c s="1163"/>
      <c s="1163"/>
      <c s="1635"/>
      <c s="569"/>
      <c s="569"/>
      <c s="569"/>
      <c s="569"/>
      <c s="1644">
        <v>11</v>
      </c>
    </row>
    <row r="129" spans="1:32" s="1644" customFormat="1" ht="11.55" customHeight="1">
      <c r="A129" s="990"/>
      <c s="1639"/>
      <c s="1639"/>
      <c s="354"/>
      <c r="K129" s="1163"/>
      <c s="1639"/>
      <c s="1639"/>
      <c s="1163"/>
      <c s="1163"/>
      <c s="1163"/>
      <c s="1163"/>
      <c s="1639"/>
      <c s="1163"/>
      <c s="1163"/>
      <c s="547"/>
      <c s="1163"/>
      <c s="1163"/>
      <c s="1163"/>
      <c s="1163"/>
      <c s="1163"/>
      <c s="1635"/>
      <c s="569"/>
      <c s="569"/>
      <c s="569"/>
      <c s="569"/>
      <c s="1644">
        <v>11</v>
      </c>
    </row>
    <row r="130" spans="1:32" s="1644" customFormat="1" ht="11.55" customHeight="1">
      <c r="A130" s="990"/>
      <c s="1639"/>
      <c s="1639"/>
      <c s="354"/>
      <c r="K130" s="1163"/>
      <c s="1639"/>
      <c s="1639"/>
      <c s="1163"/>
      <c s="1163"/>
      <c s="1163"/>
      <c s="1163"/>
      <c s="1639"/>
      <c s="1163"/>
      <c s="1163"/>
      <c s="547"/>
      <c s="1163"/>
      <c s="1163"/>
      <c s="1163"/>
      <c s="1163"/>
      <c s="1163"/>
      <c s="1635"/>
      <c s="569"/>
      <c s="569"/>
      <c s="569"/>
      <c s="569"/>
      <c s="1644">
        <v>11</v>
      </c>
    </row>
    <row r="131" spans="1:32" s="1644" customFormat="1" ht="11.55" customHeight="1">
      <c r="A131" s="990"/>
      <c s="1639"/>
      <c s="1639"/>
      <c s="354"/>
      <c r="K131" s="1163"/>
      <c s="1639"/>
      <c s="1639"/>
      <c s="1163"/>
      <c s="1163"/>
      <c s="1163"/>
      <c s="1163"/>
      <c s="1639"/>
      <c s="1163"/>
      <c s="1163"/>
      <c s="547"/>
      <c s="1163"/>
      <c s="1163"/>
      <c s="1163"/>
      <c s="1163"/>
      <c s="1163"/>
      <c s="1635"/>
      <c s="569"/>
      <c s="569"/>
      <c s="569"/>
      <c s="569"/>
      <c s="1644">
        <v>11</v>
      </c>
    </row>
    <row r="132" spans="1:32" s="1644" customFormat="1" ht="11.55" customHeight="1">
      <c r="A132" s="990"/>
      <c s="1639"/>
      <c s="1639"/>
      <c s="354"/>
      <c r="K132" s="1163"/>
      <c s="1639"/>
      <c s="1639"/>
      <c s="1163"/>
      <c s="1163"/>
      <c s="1163"/>
      <c s="1163"/>
      <c s="1639"/>
      <c s="1163"/>
      <c s="1163"/>
      <c s="547"/>
      <c s="1163"/>
      <c s="1163"/>
      <c s="1163"/>
      <c s="1163"/>
      <c s="1163"/>
      <c s="1635"/>
      <c s="569"/>
      <c s="569"/>
      <c s="569"/>
      <c s="569"/>
      <c s="1644">
        <v>11</v>
      </c>
    </row>
    <row r="133" spans="1:32" s="1644" customFormat="1" ht="11.55" customHeight="1">
      <c r="A133" s="990"/>
      <c s="1639"/>
      <c s="1639"/>
      <c s="354"/>
      <c r="K133" s="1163"/>
      <c s="1639"/>
      <c s="1639"/>
      <c s="1163"/>
      <c s="1163"/>
      <c s="1163"/>
      <c s="1163"/>
      <c s="1639"/>
      <c s="1163"/>
      <c s="1163"/>
      <c s="547"/>
      <c s="1163"/>
      <c s="1163"/>
      <c s="1163"/>
      <c s="1163"/>
      <c s="1163"/>
      <c s="1635"/>
      <c s="569"/>
      <c s="569"/>
      <c s="569"/>
      <c s="569"/>
      <c s="1644">
        <v>11</v>
      </c>
    </row>
    <row r="134" spans="1:32" s="1644" customFormat="1" ht="11.55" customHeight="1">
      <c r="A134" s="990"/>
      <c s="1639"/>
      <c s="1639"/>
      <c s="354"/>
      <c r="K134" s="1163"/>
      <c s="1639"/>
      <c s="1639"/>
      <c s="1163"/>
      <c s="1163"/>
      <c s="1163"/>
      <c s="1163"/>
      <c s="1639"/>
      <c s="1163"/>
      <c s="1163"/>
      <c s="547"/>
      <c s="1163"/>
      <c s="1163"/>
      <c s="1163"/>
      <c s="1163"/>
      <c s="1163"/>
      <c s="1635"/>
      <c s="569"/>
      <c s="569"/>
      <c s="569"/>
      <c s="569"/>
      <c s="1644">
        <v>11</v>
      </c>
    </row>
    <row r="135" spans="1:32" s="1644" customFormat="1" ht="11.55" customHeight="1">
      <c r="A135" s="990"/>
      <c s="1639"/>
      <c s="1639"/>
      <c s="354"/>
      <c r="K135" s="1163"/>
      <c s="1639"/>
      <c s="1639"/>
      <c s="1163"/>
      <c s="1163"/>
      <c s="1163"/>
      <c s="1163"/>
      <c s="1639"/>
      <c s="1163"/>
      <c s="1163"/>
      <c s="547"/>
      <c s="1163"/>
      <c s="1163"/>
      <c s="1163"/>
      <c s="1163"/>
      <c s="1163"/>
      <c s="1635"/>
      <c s="569"/>
      <c s="569"/>
      <c s="569"/>
      <c s="569"/>
      <c s="1644">
        <v>11</v>
      </c>
    </row>
    <row r="136" spans="1:32" s="1644" customFormat="1" ht="11.55" customHeight="1">
      <c r="A136" s="990"/>
      <c s="1639"/>
      <c s="1639"/>
      <c s="354"/>
      <c r="K136" s="1163"/>
      <c s="1639"/>
      <c s="1639"/>
      <c s="1163"/>
      <c s="1163"/>
      <c s="1163"/>
      <c s="1163"/>
      <c s="1639"/>
      <c s="1163"/>
      <c s="1163"/>
      <c s="547"/>
      <c s="1163"/>
      <c s="1163"/>
      <c s="1163"/>
      <c s="1163"/>
      <c s="1163"/>
      <c s="1635"/>
      <c s="569"/>
      <c s="569"/>
      <c s="569"/>
      <c s="569"/>
      <c s="1644">
        <v>11</v>
      </c>
    </row>
    <row r="137" spans="1:32" s="1644" customFormat="1" ht="11.55" customHeight="1">
      <c r="A137" s="990"/>
      <c s="1639"/>
      <c s="1639"/>
      <c s="354"/>
      <c r="K137" s="1163"/>
      <c s="1639"/>
      <c s="1639"/>
      <c s="1163"/>
      <c s="1163"/>
      <c s="1163"/>
      <c s="1163"/>
      <c s="1639"/>
      <c s="1163"/>
      <c s="1163"/>
      <c s="547"/>
      <c s="1163"/>
      <c s="1163"/>
      <c s="1163"/>
      <c s="1163"/>
      <c s="1163"/>
      <c s="1635"/>
      <c s="569"/>
      <c s="569"/>
      <c s="569"/>
      <c s="569"/>
      <c s="1644">
        <v>11</v>
      </c>
    </row>
    <row r="138" spans="1:32" s="1644" customFormat="1" ht="11.55" customHeight="1">
      <c r="A138" s="990"/>
      <c s="1639"/>
      <c s="1639"/>
      <c s="354"/>
      <c r="K138" s="1163"/>
      <c s="1639"/>
      <c s="1639"/>
      <c s="1163"/>
      <c s="1163"/>
      <c s="1163"/>
      <c s="1163"/>
      <c s="1639"/>
      <c s="1163"/>
      <c s="1163"/>
      <c s="547"/>
      <c s="1163"/>
      <c s="1163"/>
      <c s="1163"/>
      <c s="1163"/>
      <c s="1163"/>
      <c s="1635"/>
      <c s="569"/>
      <c s="569"/>
      <c s="569"/>
      <c s="569"/>
      <c s="1644">
        <v>11</v>
      </c>
    </row>
    <row r="139" spans="1:32" s="1644" customFormat="1" ht="11.55" customHeight="1">
      <c r="A139" s="990"/>
      <c s="1639"/>
      <c s="1639"/>
      <c s="354"/>
      <c r="K139" s="1163"/>
      <c s="1639"/>
      <c s="1639"/>
      <c s="1163"/>
      <c s="1163"/>
      <c s="1163"/>
      <c s="1163"/>
      <c s="1639"/>
      <c s="1163"/>
      <c s="1163"/>
      <c s="547"/>
      <c s="1163"/>
      <c s="1163"/>
      <c s="1163"/>
      <c s="1163"/>
      <c s="1163"/>
      <c s="1635"/>
      <c s="569"/>
      <c s="569"/>
      <c s="569"/>
      <c s="569"/>
      <c s="1644">
        <v>11</v>
      </c>
    </row>
    <row r="140" spans="1:32" s="1644" customFormat="1" ht="11.55" customHeight="1">
      <c r="A140" s="990"/>
      <c s="1639"/>
      <c s="1639"/>
      <c s="354"/>
      <c r="K140" s="1163"/>
      <c s="1639"/>
      <c s="1639"/>
      <c s="1163"/>
      <c s="1163"/>
      <c s="1163"/>
      <c s="1163"/>
      <c s="1639"/>
      <c s="1163"/>
      <c s="1163"/>
      <c s="547"/>
      <c s="1163"/>
      <c s="1163"/>
      <c s="1163"/>
      <c s="1163"/>
      <c s="1163"/>
      <c s="1635"/>
      <c s="569"/>
      <c s="569"/>
      <c s="569"/>
      <c s="569"/>
      <c s="1644">
        <v>11</v>
      </c>
    </row>
    <row r="141" spans="1:32" s="1644" customFormat="1" ht="11.55" customHeight="1">
      <c r="A141" s="990"/>
      <c s="1639"/>
      <c s="1639"/>
      <c s="354"/>
      <c r="K141" s="1163"/>
      <c s="1639"/>
      <c s="1639"/>
      <c s="1163"/>
      <c s="1163"/>
      <c s="1163"/>
      <c s="1163"/>
      <c s="1639"/>
      <c s="1163"/>
      <c s="1163"/>
      <c s="547"/>
      <c s="1163"/>
      <c s="1163"/>
      <c s="1163"/>
      <c s="1163"/>
      <c s="1163"/>
      <c s="1635"/>
      <c s="569"/>
      <c s="569"/>
      <c s="569"/>
      <c s="569"/>
      <c s="1644">
        <v>11</v>
      </c>
    </row>
    <row r="142" spans="1:32" s="1644" customFormat="1" ht="11.55" customHeight="1">
      <c r="A142" s="990"/>
      <c s="1639"/>
      <c s="1639"/>
      <c s="354"/>
      <c r="K142" s="1163"/>
      <c s="1639"/>
      <c s="1639"/>
      <c s="1163"/>
      <c s="1163"/>
      <c s="1163"/>
      <c s="1163"/>
      <c s="1639"/>
      <c s="1163"/>
      <c s="1163"/>
      <c s="547"/>
      <c s="1163"/>
      <c s="1163"/>
      <c s="1163"/>
      <c s="1163"/>
      <c s="1163"/>
      <c s="1635"/>
      <c s="569"/>
      <c s="569"/>
      <c s="569"/>
      <c s="569"/>
      <c s="1644">
        <v>11</v>
      </c>
    </row>
    <row r="143" spans="1:32" s="1644" customFormat="1" ht="11.55" customHeight="1">
      <c r="A143" s="990"/>
      <c s="1639"/>
      <c s="1639"/>
      <c s="354"/>
      <c r="K143" s="1163"/>
      <c s="1639"/>
      <c s="1639"/>
      <c s="1163"/>
      <c s="1163"/>
      <c s="1163"/>
      <c s="1163"/>
      <c s="1639"/>
      <c s="1163"/>
      <c s="1163"/>
      <c s="547"/>
      <c s="1163"/>
      <c s="1163"/>
      <c s="1163"/>
      <c s="1163"/>
      <c s="1163"/>
      <c s="1635"/>
      <c s="569"/>
      <c s="569"/>
      <c s="569"/>
      <c s="569"/>
      <c s="1644">
        <v>11</v>
      </c>
    </row>
    <row r="144" spans="1:32" s="1644" customFormat="1" ht="11.55" customHeight="1">
      <c r="A144" s="990"/>
      <c s="1639"/>
      <c s="1639"/>
      <c s="354"/>
      <c r="K144" s="1163"/>
      <c s="1639"/>
      <c s="1639"/>
      <c s="1163"/>
      <c s="1163"/>
      <c s="1163"/>
      <c s="1163"/>
      <c s="1639"/>
      <c s="1163"/>
      <c s="1163"/>
      <c s="547"/>
      <c s="1163"/>
      <c s="1163"/>
      <c s="1163"/>
      <c s="1163"/>
      <c s="1163"/>
      <c s="1635"/>
      <c s="569"/>
      <c s="569"/>
      <c s="569"/>
      <c s="569"/>
      <c s="1644">
        <v>11</v>
      </c>
    </row>
    <row r="145" spans="1:32" s="1644" customFormat="1" ht="11.55" customHeight="1">
      <c r="A145" s="990"/>
      <c s="1639"/>
      <c s="1639"/>
      <c s="354"/>
      <c r="K145" s="1163"/>
      <c s="1639"/>
      <c s="1639"/>
      <c s="1163"/>
      <c s="1163"/>
      <c s="1163"/>
      <c s="1163"/>
      <c s="1639"/>
      <c s="1163"/>
      <c s="1163"/>
      <c s="547"/>
      <c s="1163"/>
      <c s="1163"/>
      <c s="1163"/>
      <c s="1163"/>
      <c s="1163"/>
      <c s="1635"/>
      <c s="569"/>
      <c s="569"/>
      <c s="569"/>
      <c s="569"/>
      <c s="1644">
        <v>11</v>
      </c>
    </row>
    <row r="146" spans="1:32" s="1644" customFormat="1" ht="11.55" customHeight="1">
      <c r="A146" s="990"/>
      <c s="1639"/>
      <c s="1639"/>
      <c s="354"/>
      <c r="K146" s="1163"/>
      <c s="1639"/>
      <c s="1639"/>
      <c s="1163"/>
      <c s="1163"/>
      <c s="1163"/>
      <c s="1163"/>
      <c s="1639"/>
      <c s="1163"/>
      <c s="1163"/>
      <c s="547"/>
      <c s="1163"/>
      <c s="1163"/>
      <c s="1163"/>
      <c s="1163"/>
      <c s="1163"/>
      <c s="1635"/>
      <c s="569"/>
      <c s="569"/>
      <c s="569"/>
      <c s="569"/>
      <c s="1644">
        <v>11</v>
      </c>
    </row>
    <row r="147" spans="1:32" s="1644" customFormat="1" ht="11.55" customHeight="1">
      <c r="A147" s="990"/>
      <c s="1639"/>
      <c s="1639"/>
      <c s="354"/>
      <c r="K147" s="1163"/>
      <c s="1639"/>
      <c s="1639"/>
      <c s="1163"/>
      <c s="1163"/>
      <c s="1163"/>
      <c s="1163"/>
      <c s="1639"/>
      <c s="1163"/>
      <c s="1163"/>
      <c s="547"/>
      <c s="1163"/>
      <c s="1163"/>
      <c s="1163"/>
      <c s="1163"/>
      <c s="1163"/>
      <c s="1635"/>
      <c s="569"/>
      <c s="569"/>
      <c s="569"/>
      <c s="569"/>
      <c s="1644">
        <v>11</v>
      </c>
    </row>
    <row r="148" spans="1:32" s="1644" customFormat="1" ht="11.55" customHeight="1">
      <c r="A148" s="990"/>
      <c s="1639"/>
      <c s="1639"/>
      <c s="354"/>
      <c r="K148" s="1163"/>
      <c s="1639"/>
      <c s="1639"/>
      <c s="1163"/>
      <c s="1163"/>
      <c s="1163"/>
      <c s="1163"/>
      <c s="1639"/>
      <c s="1163"/>
      <c s="1163"/>
      <c s="547"/>
      <c s="1163"/>
      <c s="1163"/>
      <c s="1163"/>
      <c s="1163"/>
      <c s="1163"/>
      <c s="1635"/>
      <c s="569"/>
      <c s="569"/>
      <c s="569"/>
      <c s="569"/>
      <c s="1644">
        <v>11</v>
      </c>
    </row>
    <row r="149" spans="1:32" s="1644" customFormat="1" ht="11.55" customHeight="1">
      <c r="A149" s="990"/>
      <c s="1639"/>
      <c s="1639"/>
      <c s="354"/>
      <c r="K149" s="1163"/>
      <c s="1639"/>
      <c s="1639"/>
      <c s="1163"/>
      <c s="1163"/>
      <c s="1163"/>
      <c s="1163"/>
      <c s="1639"/>
      <c s="1163"/>
      <c s="1163"/>
      <c s="547"/>
      <c s="1163"/>
      <c s="1163"/>
      <c s="1163"/>
      <c s="1163"/>
      <c s="1163"/>
      <c s="1635"/>
      <c s="569"/>
      <c s="569"/>
      <c s="569"/>
      <c s="569"/>
      <c s="1644">
        <v>11</v>
      </c>
    </row>
    <row r="150" spans="1:32" s="1644" customFormat="1" ht="11.55" customHeight="1">
      <c r="A150" s="990"/>
      <c s="1639"/>
      <c s="1639"/>
      <c s="354"/>
      <c r="K150" s="1163"/>
      <c s="1639"/>
      <c s="1639"/>
      <c s="1163"/>
      <c s="1163"/>
      <c s="1163"/>
      <c s="1163"/>
      <c s="1639"/>
      <c s="1163"/>
      <c s="1163"/>
      <c s="547"/>
      <c s="1163"/>
      <c s="1163"/>
      <c s="1163"/>
      <c s="1163"/>
      <c s="1163"/>
      <c s="1635"/>
      <c s="569"/>
      <c s="569"/>
      <c s="569"/>
      <c s="569"/>
      <c s="1644">
        <v>11</v>
      </c>
    </row>
    <row r="151" spans="1:32" s="1644" customFormat="1" ht="11.55" customHeight="1">
      <c r="A151" s="990"/>
      <c s="1639"/>
      <c s="1639"/>
      <c s="354"/>
      <c r="K151" s="1163"/>
      <c s="1639"/>
      <c s="1639"/>
      <c s="1163"/>
      <c s="1163"/>
      <c s="1163"/>
      <c s="1163"/>
      <c s="1639"/>
      <c s="1163"/>
      <c s="1163"/>
      <c s="547"/>
      <c s="1163"/>
      <c s="1163"/>
      <c s="1163"/>
      <c s="1163"/>
      <c s="1163"/>
      <c s="1635"/>
      <c s="569"/>
      <c s="569"/>
      <c s="569"/>
      <c s="569"/>
      <c s="1644">
        <v>11</v>
      </c>
    </row>
    <row r="152" spans="1:32" s="1644" customFormat="1" ht="11.55" customHeight="1">
      <c r="A152" s="990"/>
      <c s="1639"/>
      <c s="1639"/>
      <c s="354"/>
      <c r="K152" s="1163"/>
      <c s="1639"/>
      <c s="1639"/>
      <c s="1163"/>
      <c s="1163"/>
      <c s="1163"/>
      <c s="1163"/>
      <c s="1639"/>
      <c s="1163"/>
      <c s="1163"/>
      <c s="547"/>
      <c s="1163"/>
      <c s="1163"/>
      <c s="1163"/>
      <c s="1163"/>
      <c s="1163"/>
      <c s="1635"/>
      <c s="569"/>
      <c s="569"/>
      <c s="569"/>
      <c s="569"/>
      <c s="1644">
        <v>11</v>
      </c>
    </row>
    <row r="153" spans="1:32" s="1644" customFormat="1" ht="11.55" customHeight="1">
      <c r="A153" s="990"/>
      <c s="1639"/>
      <c s="1639"/>
      <c s="354"/>
      <c r="K153" s="1163"/>
      <c s="1639"/>
      <c s="1639"/>
      <c s="1163"/>
      <c s="1163"/>
      <c s="1163"/>
      <c s="1163"/>
      <c s="1639"/>
      <c s="1163"/>
      <c s="1163"/>
      <c s="547"/>
      <c s="1163"/>
      <c s="1163"/>
      <c s="1163"/>
      <c s="1163"/>
      <c s="1163"/>
      <c s="1635"/>
      <c s="569"/>
      <c s="569"/>
      <c s="569"/>
      <c s="569"/>
      <c s="1644">
        <v>11</v>
      </c>
    </row>
    <row r="154" spans="1:32" s="1644" customFormat="1" ht="11.55" customHeight="1">
      <c r="A154" s="990"/>
      <c s="1639"/>
      <c s="1639"/>
      <c s="354"/>
      <c r="K154" s="1163"/>
      <c s="1639"/>
      <c s="1639"/>
      <c s="1163"/>
      <c s="1163"/>
      <c s="1163"/>
      <c s="1163"/>
      <c s="1639"/>
      <c s="1163"/>
      <c s="1163"/>
      <c s="547"/>
      <c s="1163"/>
      <c s="1163"/>
      <c s="1163"/>
      <c s="1163"/>
      <c s="1163"/>
      <c s="1635"/>
      <c s="569"/>
      <c s="569"/>
      <c s="569"/>
      <c s="569"/>
      <c s="1644">
        <v>11</v>
      </c>
    </row>
    <row r="155" spans="1:32" s="1644" customFormat="1" ht="11.55" customHeight="1">
      <c r="A155" s="990"/>
      <c s="1639"/>
      <c s="1639"/>
      <c s="354"/>
      <c r="K155" s="1163"/>
      <c s="1639"/>
      <c s="1639"/>
      <c s="1163"/>
      <c s="1163"/>
      <c s="1163"/>
      <c s="1163"/>
      <c s="1639"/>
      <c s="1163"/>
      <c s="1163"/>
      <c s="547"/>
      <c s="1163"/>
      <c s="1163"/>
      <c s="1163"/>
      <c s="1163"/>
      <c s="1163"/>
      <c s="1635"/>
      <c s="569"/>
      <c s="569"/>
      <c s="569"/>
      <c s="569"/>
      <c s="1644">
        <v>11</v>
      </c>
    </row>
    <row r="156" spans="1:32" s="1644" customFormat="1" ht="11.55" customHeight="1">
      <c r="A156" s="990"/>
      <c s="1639"/>
      <c s="1639"/>
      <c s="354"/>
      <c r="K156" s="1163"/>
      <c s="1639"/>
      <c s="1639"/>
      <c s="1163"/>
      <c s="1163"/>
      <c s="1163"/>
      <c s="1163"/>
      <c s="1639"/>
      <c s="1163"/>
      <c s="1163"/>
      <c s="547"/>
      <c s="1163"/>
      <c s="1163"/>
      <c s="1163"/>
      <c s="1163"/>
      <c s="1163"/>
      <c s="1635"/>
      <c s="569"/>
      <c s="569"/>
      <c s="569"/>
      <c s="569"/>
      <c s="1644">
        <v>11</v>
      </c>
    </row>
    <row r="157" spans="1:32" s="1644" customFormat="1" ht="11.55" customHeight="1">
      <c r="A157" s="990"/>
      <c s="1639"/>
      <c s="1639"/>
      <c s="354"/>
      <c r="K157" s="1163"/>
      <c s="1639"/>
      <c s="1639"/>
      <c s="1163"/>
      <c s="1163"/>
      <c s="1163"/>
      <c s="1163"/>
      <c s="1639"/>
      <c s="1163"/>
      <c s="1163"/>
      <c s="547"/>
      <c s="1163"/>
      <c s="1163"/>
      <c s="1163"/>
      <c s="1163"/>
      <c s="1163"/>
      <c s="1635"/>
      <c s="569"/>
      <c s="569"/>
      <c s="569"/>
      <c s="569"/>
      <c s="1644">
        <v>11</v>
      </c>
    </row>
    <row r="158" spans="1:32" s="1644" customFormat="1" ht="11.55" customHeight="1">
      <c r="A158" s="990"/>
      <c s="1639"/>
      <c s="1639"/>
      <c s="354"/>
      <c r="K158" s="1163"/>
      <c s="1639"/>
      <c s="1639"/>
      <c s="1163"/>
      <c s="1163"/>
      <c s="1163"/>
      <c s="1163"/>
      <c s="1639"/>
      <c s="1163"/>
      <c s="1163"/>
      <c s="547"/>
      <c s="1163"/>
      <c s="1163"/>
      <c s="1163"/>
      <c s="1163"/>
      <c s="1163"/>
      <c s="1635"/>
      <c s="569"/>
      <c s="569"/>
      <c s="569"/>
      <c s="569"/>
      <c s="1644">
        <v>11</v>
      </c>
    </row>
    <row r="159" spans="1:32" s="1644" customFormat="1" ht="11.55" customHeight="1">
      <c r="A159" s="990"/>
      <c s="1639"/>
      <c s="1639"/>
      <c s="354"/>
      <c r="K159" s="1163"/>
      <c s="1639"/>
      <c s="1639"/>
      <c s="1163"/>
      <c s="1163"/>
      <c s="1163"/>
      <c s="1163"/>
      <c s="1639"/>
      <c s="1163"/>
      <c s="1163"/>
      <c s="547"/>
      <c s="1163"/>
      <c s="1163"/>
      <c s="1163"/>
      <c s="1163"/>
      <c s="1163"/>
      <c s="1635"/>
      <c s="569"/>
      <c s="569"/>
      <c s="569"/>
      <c s="569"/>
      <c s="1644">
        <v>11</v>
      </c>
    </row>
    <row r="160" spans="1:32" s="1644" customFormat="1" ht="11.55" customHeight="1">
      <c r="A160" s="990"/>
      <c s="1639"/>
      <c s="1639"/>
      <c s="354"/>
      <c r="K160" s="1163"/>
      <c s="1639"/>
      <c s="1639"/>
      <c s="1163"/>
      <c s="1163"/>
      <c s="1163"/>
      <c s="1163"/>
      <c s="1639"/>
      <c s="1163"/>
      <c s="1163"/>
      <c s="547"/>
      <c s="1163"/>
      <c s="1163"/>
      <c s="1163"/>
      <c s="1163"/>
      <c s="1163"/>
      <c s="1635"/>
      <c s="569"/>
      <c s="569"/>
      <c s="569"/>
      <c s="569"/>
      <c s="1644">
        <v>11</v>
      </c>
    </row>
    <row r="161" spans="1:32" s="1644" customFormat="1" ht="11.55" customHeight="1">
      <c r="A161" s="990"/>
      <c s="1639"/>
      <c s="1639"/>
      <c s="354"/>
      <c r="K161" s="1163"/>
      <c s="1639"/>
      <c s="1639"/>
      <c s="1163"/>
      <c s="1163"/>
      <c s="1163"/>
      <c s="1163"/>
      <c s="1639"/>
      <c s="1163"/>
      <c s="1163"/>
      <c s="547"/>
      <c s="1163"/>
      <c s="1163"/>
      <c s="1163"/>
      <c s="1163"/>
      <c s="1163"/>
      <c s="1635"/>
      <c s="569"/>
      <c s="569"/>
      <c s="569"/>
      <c s="569"/>
      <c s="1644">
        <v>11</v>
      </c>
    </row>
    <row r="162" spans="1:32" s="1644" customFormat="1" ht="11.55" customHeight="1">
      <c r="A162" s="990"/>
      <c s="1639"/>
      <c s="1639"/>
      <c s="354"/>
      <c r="K162" s="1163"/>
      <c s="1639"/>
      <c s="1639"/>
      <c s="1163"/>
      <c s="1163"/>
      <c s="1163"/>
      <c s="1163"/>
      <c s="1639"/>
      <c s="1163"/>
      <c s="1163"/>
      <c s="547"/>
      <c s="1163"/>
      <c s="1163"/>
      <c s="1163"/>
      <c s="1163"/>
      <c s="1163"/>
      <c s="1635"/>
      <c s="569"/>
      <c s="569"/>
      <c s="569"/>
      <c s="569"/>
      <c s="1644">
        <v>11</v>
      </c>
    </row>
    <row r="163" spans="1:32" s="1644" customFormat="1" ht="11.55" customHeight="1">
      <c r="A163" s="990"/>
      <c s="1639"/>
      <c s="1639"/>
      <c s="354"/>
      <c r="K163" s="1163"/>
      <c s="1639"/>
      <c s="1639"/>
      <c s="1163"/>
      <c s="1163"/>
      <c s="1163"/>
      <c s="1163"/>
      <c s="1639"/>
      <c s="1163"/>
      <c s="1163"/>
      <c s="547"/>
      <c s="1163"/>
      <c s="1163"/>
      <c s="1163"/>
      <c s="1163"/>
      <c s="1163"/>
      <c s="1635"/>
      <c s="569"/>
      <c s="569"/>
      <c s="569"/>
      <c s="569"/>
      <c s="1644">
        <v>11</v>
      </c>
    </row>
    <row r="164" spans="1:32" s="1644" customFormat="1" ht="11.55" customHeight="1">
      <c r="A164" s="990"/>
      <c s="1639"/>
      <c s="1639"/>
      <c s="354"/>
      <c r="K164" s="1163"/>
      <c s="1639"/>
      <c s="1639"/>
      <c s="1163"/>
      <c s="1163"/>
      <c s="1163"/>
      <c s="1163"/>
      <c s="1639"/>
      <c s="1163"/>
      <c s="1163"/>
      <c s="547"/>
      <c s="1163"/>
      <c s="1163"/>
      <c s="1163"/>
      <c s="1163"/>
      <c s="1163"/>
      <c s="1635"/>
      <c s="569"/>
      <c s="569"/>
      <c s="569"/>
      <c s="569"/>
      <c s="1644">
        <v>11</v>
      </c>
    </row>
    <row r="165" spans="1:32" s="1644" customFormat="1" ht="11.55" customHeight="1">
      <c r="A165" s="990"/>
      <c s="1639"/>
      <c s="1639"/>
      <c s="354"/>
      <c r="K165" s="1163"/>
      <c s="1639"/>
      <c s="1639"/>
      <c s="1163"/>
      <c s="1163"/>
      <c s="1163"/>
      <c s="1163"/>
      <c s="1639"/>
      <c s="1163"/>
      <c s="1163"/>
      <c s="547"/>
      <c s="1163"/>
      <c s="1163"/>
      <c s="1163"/>
      <c s="1163"/>
      <c s="1163"/>
      <c s="1635"/>
      <c s="569"/>
      <c s="569"/>
      <c s="569"/>
      <c s="569"/>
      <c s="1644">
        <v>11</v>
      </c>
    </row>
    <row r="166" spans="1:32" s="1644" customFormat="1" ht="11.55" customHeight="1">
      <c r="A166" s="990"/>
      <c s="1639"/>
      <c s="1639"/>
      <c s="354"/>
      <c r="K166" s="1163"/>
      <c s="1639"/>
      <c s="1639"/>
      <c s="1163"/>
      <c s="1163"/>
      <c s="1163"/>
      <c s="1163"/>
      <c s="1639"/>
      <c s="1163"/>
      <c s="1163"/>
      <c s="547"/>
      <c s="1163"/>
      <c s="1163"/>
      <c s="1163"/>
      <c s="1163"/>
      <c s="1163"/>
      <c s="1635"/>
      <c s="569"/>
      <c s="569"/>
      <c s="569"/>
      <c s="569"/>
      <c s="1644">
        <v>11</v>
      </c>
    </row>
    <row r="167" spans="1:32" s="1644" customFormat="1" ht="11.55" customHeight="1">
      <c r="A167" s="990"/>
      <c s="1639"/>
      <c s="1639"/>
      <c s="354"/>
      <c r="K167" s="1163"/>
      <c s="1639"/>
      <c s="1639"/>
      <c s="1163"/>
      <c s="1163"/>
      <c s="1163"/>
      <c s="1163"/>
      <c s="1639"/>
      <c s="1163"/>
      <c s="1163"/>
      <c s="547"/>
      <c s="1163"/>
      <c s="1163"/>
      <c s="1163"/>
      <c s="1163"/>
      <c s="1163"/>
      <c s="1635"/>
      <c s="569"/>
      <c s="569"/>
      <c s="569"/>
      <c s="569"/>
      <c s="1644">
        <v>11</v>
      </c>
    </row>
    <row r="168" spans="1:32" s="1644" customFormat="1" ht="11.55" customHeight="1">
      <c r="A168" s="990"/>
      <c s="1639"/>
      <c s="1639"/>
      <c s="354"/>
      <c r="K168" s="1163"/>
      <c s="1639"/>
      <c s="1639"/>
      <c s="1163"/>
      <c s="1163"/>
      <c s="1163"/>
      <c s="1163"/>
      <c s="1639"/>
      <c s="1163"/>
      <c s="1163"/>
      <c s="547"/>
      <c s="1163"/>
      <c s="1163"/>
      <c s="1163"/>
      <c s="1163"/>
      <c s="1163"/>
      <c s="1635"/>
      <c s="569"/>
      <c s="569"/>
      <c s="569"/>
      <c s="569"/>
      <c s="1644">
        <v>11</v>
      </c>
    </row>
    <row r="169" spans="1:32" s="1644" customFormat="1" ht="11.55" customHeight="1">
      <c r="A169" s="990"/>
      <c s="1639"/>
      <c s="1639"/>
      <c s="354"/>
      <c r="K169" s="1163"/>
      <c s="1639"/>
      <c s="1639"/>
      <c s="1163"/>
      <c s="1163"/>
      <c s="1163"/>
      <c s="1163"/>
      <c s="1639"/>
      <c s="1163"/>
      <c s="1163"/>
      <c s="547"/>
      <c s="1163"/>
      <c s="1163"/>
      <c s="1163"/>
      <c s="1163"/>
      <c s="1163"/>
      <c s="1635"/>
      <c s="569"/>
      <c s="569"/>
      <c s="569"/>
      <c s="569"/>
      <c s="1644">
        <v>11</v>
      </c>
    </row>
    <row r="170" spans="1:32" s="1644" customFormat="1" ht="11.55" customHeight="1">
      <c r="A170" s="990"/>
      <c s="1639"/>
      <c s="1639"/>
      <c s="354"/>
      <c r="K170" s="1163"/>
      <c s="1639"/>
      <c s="1639"/>
      <c s="1163"/>
      <c s="1163"/>
      <c s="1163"/>
      <c s="1163"/>
      <c s="1639"/>
      <c s="1163"/>
      <c s="1163"/>
      <c s="547"/>
      <c s="1163"/>
      <c s="1163"/>
      <c s="1163"/>
      <c s="1163"/>
      <c s="1163"/>
      <c s="1635"/>
      <c s="569"/>
      <c s="569"/>
      <c s="569"/>
      <c s="569"/>
      <c s="1644">
        <v>11</v>
      </c>
    </row>
    <row r="171" spans="1:32" s="1644" customFormat="1" ht="11.55" customHeight="1">
      <c r="A171" s="990"/>
      <c s="1639"/>
      <c s="1639"/>
      <c s="354"/>
      <c r="K171" s="1163"/>
      <c s="1639"/>
      <c s="1639"/>
      <c s="1163"/>
      <c s="1163"/>
      <c s="1163"/>
      <c s="1163"/>
      <c s="1639"/>
      <c s="1163"/>
      <c s="1163"/>
      <c s="547"/>
      <c s="1163"/>
      <c s="1163"/>
      <c s="1163"/>
      <c s="1163"/>
      <c s="1163"/>
      <c s="1635"/>
      <c s="569"/>
      <c s="569"/>
      <c s="569"/>
      <c s="569"/>
      <c s="1644">
        <v>11</v>
      </c>
    </row>
    <row r="172" spans="1:32" s="1644" customFormat="1" ht="11.55" customHeight="1">
      <c r="A172" s="990"/>
      <c s="1639"/>
      <c s="1639"/>
      <c s="354"/>
      <c r="K172" s="1163"/>
      <c s="1639"/>
      <c s="1639"/>
      <c s="1163"/>
      <c s="1163"/>
      <c s="1163"/>
      <c s="1163"/>
      <c s="1639"/>
      <c s="1163"/>
      <c s="1163"/>
      <c s="547"/>
      <c s="1163"/>
      <c s="1163"/>
      <c s="1163"/>
      <c s="1163"/>
      <c s="1163"/>
      <c s="1635"/>
      <c s="569"/>
      <c s="569"/>
      <c s="569"/>
      <c s="569"/>
      <c s="1644">
        <v>11</v>
      </c>
    </row>
    <row r="173" spans="1:32" s="1644" customFormat="1" ht="11.55" customHeight="1">
      <c r="A173" s="990"/>
      <c s="1639"/>
      <c s="1639"/>
      <c s="354"/>
      <c r="K173" s="1163"/>
      <c s="1639"/>
      <c s="1639"/>
      <c s="1163"/>
      <c s="1163"/>
      <c s="1163"/>
      <c s="1163"/>
      <c s="1639"/>
      <c s="1163"/>
      <c s="1163"/>
      <c s="547"/>
      <c s="1163"/>
      <c s="1163"/>
      <c s="1163"/>
      <c s="1163"/>
      <c s="1163"/>
      <c s="1635"/>
      <c s="569"/>
      <c s="569"/>
      <c s="569"/>
      <c s="569"/>
      <c s="1644">
        <v>11</v>
      </c>
    </row>
    <row r="174" spans="1:32" s="1644" customFormat="1" ht="11.55" customHeight="1">
      <c r="A174" s="990"/>
      <c s="1639"/>
      <c s="1639"/>
      <c s="354"/>
      <c r="K174" s="1163"/>
      <c s="1639"/>
      <c s="1639"/>
      <c s="1163"/>
      <c s="1163"/>
      <c s="1163"/>
      <c s="1163"/>
      <c s="1639"/>
      <c s="1163"/>
      <c s="1163"/>
      <c s="547"/>
      <c s="1163"/>
      <c s="1163"/>
      <c s="1163"/>
      <c s="1163"/>
      <c s="1163"/>
      <c s="1635"/>
      <c s="569"/>
      <c s="569"/>
      <c s="569"/>
      <c s="569"/>
      <c s="1644">
        <v>11</v>
      </c>
    </row>
    <row r="175" spans="1:32" s="1644" customFormat="1" ht="11.55" customHeight="1">
      <c r="A175" s="990"/>
      <c s="1639"/>
      <c s="1639"/>
      <c s="354"/>
      <c r="K175" s="1163"/>
      <c s="1639"/>
      <c s="1639"/>
      <c s="1163"/>
      <c s="1163"/>
      <c s="1163"/>
      <c s="1163"/>
      <c s="1639"/>
      <c s="1163"/>
      <c s="1163"/>
      <c s="547"/>
      <c s="1163"/>
      <c s="1163"/>
      <c s="1163"/>
      <c s="1163"/>
      <c s="1163"/>
      <c s="1635"/>
      <c s="569"/>
      <c s="569"/>
      <c s="569"/>
      <c s="569"/>
      <c s="1644">
        <v>11</v>
      </c>
    </row>
    <row r="176" spans="1:32" s="1644" customFormat="1" ht="11.55" customHeight="1">
      <c r="A176" s="990"/>
      <c s="1639"/>
      <c s="1639"/>
      <c s="354"/>
      <c r="K176" s="1163"/>
      <c s="1639"/>
      <c s="1639"/>
      <c s="1163"/>
      <c s="1163"/>
      <c s="1163"/>
      <c s="1163"/>
      <c s="1639"/>
      <c s="1163"/>
      <c s="1163"/>
      <c s="547"/>
      <c s="1163"/>
      <c s="1163"/>
      <c s="1163"/>
      <c s="1163"/>
      <c s="1163"/>
      <c s="1635"/>
      <c s="569"/>
      <c s="569"/>
      <c s="569"/>
      <c s="569"/>
      <c s="1644">
        <v>11</v>
      </c>
    </row>
    <row r="177" spans="1:32" s="1644" customFormat="1" ht="11.55" customHeight="1">
      <c r="A177" s="990"/>
      <c s="1639"/>
      <c s="1639"/>
      <c s="354"/>
      <c r="K177" s="1163"/>
      <c s="1639"/>
      <c s="1639"/>
      <c s="1163"/>
      <c s="1163"/>
      <c s="1163"/>
      <c s="1163"/>
      <c s="1639"/>
      <c s="1163"/>
      <c s="1163"/>
      <c s="547"/>
      <c s="1163"/>
      <c s="1163"/>
      <c s="1163"/>
      <c s="1163"/>
      <c s="1163"/>
      <c s="1635"/>
      <c s="569"/>
      <c s="569"/>
      <c s="569"/>
      <c s="569"/>
      <c s="1644">
        <v>11</v>
      </c>
    </row>
    <row r="178" spans="1:32" s="1644" customFormat="1" ht="11.55" customHeight="1">
      <c r="A178" s="990"/>
      <c s="1639"/>
      <c s="1639"/>
      <c s="354"/>
      <c r="K178" s="1163"/>
      <c s="1639"/>
      <c s="1639"/>
      <c s="1163"/>
      <c s="1163"/>
      <c s="1163"/>
      <c s="1163"/>
      <c s="1639"/>
      <c s="1163"/>
      <c s="1163"/>
      <c s="547"/>
      <c s="1163"/>
      <c s="1163"/>
      <c s="1163"/>
      <c s="1163"/>
      <c s="1163"/>
      <c s="1635"/>
      <c s="569"/>
      <c s="569"/>
      <c s="569"/>
      <c s="569"/>
      <c s="1644">
        <v>11</v>
      </c>
    </row>
    <row r="179" spans="1:32" s="1644" customFormat="1" ht="11.55" customHeight="1">
      <c r="A179" s="990"/>
      <c s="1639"/>
      <c s="1639"/>
      <c s="354"/>
      <c r="K179" s="1163"/>
      <c s="1639"/>
      <c s="1639"/>
      <c s="1163"/>
      <c s="1163"/>
      <c s="1163"/>
      <c s="1163"/>
      <c s="1639"/>
      <c s="1163"/>
      <c s="1163"/>
      <c s="547"/>
      <c s="1163"/>
      <c s="1163"/>
      <c s="1163"/>
      <c s="1163"/>
      <c s="1163"/>
      <c s="1635"/>
      <c s="569"/>
      <c s="569"/>
      <c s="569"/>
      <c s="569"/>
      <c s="1644">
        <v>11</v>
      </c>
    </row>
    <row r="180" spans="1:32" s="1644" customFormat="1" ht="11.55" customHeight="1">
      <c r="A180" s="990"/>
      <c s="1639"/>
      <c s="1639"/>
      <c s="354"/>
      <c r="K180" s="1163"/>
      <c s="1639"/>
      <c s="1639"/>
      <c s="1163"/>
      <c s="1163"/>
      <c s="1163"/>
      <c s="1163"/>
      <c s="1639"/>
      <c s="1163"/>
      <c s="1163"/>
      <c s="547"/>
      <c s="1163"/>
      <c s="1163"/>
      <c s="1163"/>
      <c s="1163"/>
      <c s="1163"/>
      <c s="1635"/>
      <c s="569"/>
      <c s="569"/>
      <c s="569"/>
      <c s="569"/>
      <c s="1644">
        <v>11</v>
      </c>
    </row>
    <row r="181" spans="1:32" s="1644" customFormat="1" ht="11.55" customHeight="1">
      <c r="A181" s="990"/>
      <c s="1639"/>
      <c s="1639"/>
      <c s="354"/>
      <c r="K181" s="1163"/>
      <c s="1639"/>
      <c s="1639"/>
      <c s="1163"/>
      <c s="1163"/>
      <c s="1163"/>
      <c s="1163"/>
      <c s="1639"/>
      <c s="1163"/>
      <c s="1163"/>
      <c s="547"/>
      <c s="1163"/>
      <c s="1163"/>
      <c s="1163"/>
      <c s="1163"/>
      <c s="1163"/>
      <c s="1635"/>
      <c s="569"/>
      <c s="569"/>
      <c s="569"/>
      <c s="569"/>
      <c s="1644">
        <v>11</v>
      </c>
    </row>
    <row r="182" spans="1:32" s="1644" customFormat="1" ht="11.55" customHeight="1">
      <c r="A182" s="990"/>
      <c s="1639"/>
      <c s="1639"/>
      <c s="354"/>
      <c r="K182" s="1163"/>
      <c s="1639"/>
      <c s="1639"/>
      <c s="1163"/>
      <c s="1163"/>
      <c s="1163"/>
      <c s="1163"/>
      <c s="1639"/>
      <c s="1163"/>
      <c s="1163"/>
      <c s="547"/>
      <c s="1163"/>
      <c s="1163"/>
      <c s="1163"/>
      <c s="1163"/>
      <c s="1163"/>
      <c s="1635"/>
      <c s="569"/>
      <c s="569"/>
      <c s="569"/>
      <c s="569"/>
      <c s="1644">
        <v>11</v>
      </c>
    </row>
    <row r="183" spans="1:32" s="1644" customFormat="1" ht="11.55" customHeight="1">
      <c r="A183" s="990"/>
      <c s="1639"/>
      <c s="1639"/>
      <c s="354"/>
      <c r="K183" s="1163"/>
      <c s="1639"/>
      <c s="1639"/>
      <c s="1163"/>
      <c s="1163"/>
      <c s="1163"/>
      <c s="1163"/>
      <c s="1639"/>
      <c s="1163"/>
      <c s="1163"/>
      <c s="547"/>
      <c s="1163"/>
      <c s="1163"/>
      <c s="1163"/>
      <c s="1163"/>
      <c s="1163"/>
      <c s="1635"/>
      <c s="569"/>
      <c s="569"/>
      <c s="569"/>
      <c s="569"/>
      <c s="1644">
        <v>11</v>
      </c>
    </row>
    <row r="184" spans="1:32" s="1644" customFormat="1" ht="11.55" customHeight="1">
      <c r="A184" s="990"/>
      <c s="1639"/>
      <c s="1639"/>
      <c s="354"/>
      <c r="K184" s="1163"/>
      <c s="1639"/>
      <c s="1639"/>
      <c s="1163"/>
      <c s="1163"/>
      <c s="1163"/>
      <c s="1163"/>
      <c s="1639"/>
      <c s="1163"/>
      <c s="1163"/>
      <c s="547"/>
      <c s="1163"/>
      <c s="1163"/>
      <c s="1163"/>
      <c s="1163"/>
      <c s="1163"/>
      <c s="1635"/>
      <c s="569"/>
      <c s="569"/>
      <c s="569"/>
      <c s="569"/>
      <c s="1644">
        <v>11</v>
      </c>
    </row>
    <row r="185" spans="1:32" s="1644" customFormat="1" ht="11.55" customHeight="1">
      <c r="A185" s="990"/>
      <c s="1639"/>
      <c s="1639"/>
      <c s="354"/>
      <c r="K185" s="1163"/>
      <c s="1639"/>
      <c s="1639"/>
      <c s="1163"/>
      <c s="1163"/>
      <c s="1163"/>
      <c s="1163"/>
      <c s="1639"/>
      <c s="1163"/>
      <c s="1163"/>
      <c s="547"/>
      <c s="1163"/>
      <c s="1163"/>
      <c s="1163"/>
      <c s="1163"/>
      <c s="1163"/>
      <c s="1635"/>
      <c s="569"/>
      <c s="569"/>
      <c s="569"/>
      <c s="569"/>
      <c s="1644">
        <v>11</v>
      </c>
    </row>
    <row r="186" spans="1:32" s="1644" customFormat="1" ht="11.55" customHeight="1">
      <c r="A186" s="990"/>
      <c s="1639"/>
      <c s="1639"/>
      <c s="354"/>
      <c r="K186" s="1163"/>
      <c s="1639"/>
      <c s="1639"/>
      <c s="1163"/>
      <c s="1163"/>
      <c s="1163"/>
      <c s="1163"/>
      <c s="1639"/>
      <c s="1163"/>
      <c s="1163"/>
      <c s="547"/>
      <c s="1163"/>
      <c s="1163"/>
      <c s="1163"/>
      <c s="1163"/>
      <c s="1163"/>
      <c s="1635"/>
      <c s="569"/>
      <c s="569"/>
      <c s="569"/>
      <c s="569"/>
      <c s="1644">
        <v>11</v>
      </c>
    </row>
    <row r="187" spans="1:32" s="1644" customFormat="1" ht="11.55" customHeight="1">
      <c r="A187" s="990"/>
      <c s="1639"/>
      <c s="1639"/>
      <c s="354"/>
      <c r="K187" s="1163"/>
      <c s="1639"/>
      <c s="1639"/>
      <c s="1163"/>
      <c s="1163"/>
      <c s="1163"/>
      <c s="1163"/>
      <c s="1639"/>
      <c s="1163"/>
      <c s="1163"/>
      <c s="547"/>
      <c s="1163"/>
      <c s="1163"/>
      <c s="1163"/>
      <c s="1163"/>
      <c s="1163"/>
      <c s="1635"/>
      <c s="569"/>
      <c s="569"/>
      <c s="569"/>
      <c s="569"/>
      <c s="1644">
        <v>11</v>
      </c>
    </row>
    <row r="188" spans="1:32" s="1644" customFormat="1" ht="11.55" customHeight="1">
      <c r="A188" s="990"/>
      <c s="1639"/>
      <c s="1639"/>
      <c s="354"/>
      <c r="K188" s="1163"/>
      <c s="1639"/>
      <c s="1639"/>
      <c s="1163"/>
      <c s="1163"/>
      <c s="1163"/>
      <c s="1163"/>
      <c s="1639"/>
      <c s="1163"/>
      <c s="1163"/>
      <c s="547"/>
      <c s="1163"/>
      <c s="1163"/>
      <c s="1163"/>
      <c s="1163"/>
      <c s="1163"/>
      <c s="1635"/>
      <c s="569"/>
      <c s="569"/>
      <c s="569"/>
      <c s="569"/>
      <c s="1644">
        <v>11</v>
      </c>
    </row>
    <row r="189" spans="1:32" s="1644" customFormat="1" ht="11.55" customHeight="1">
      <c r="A189" s="990"/>
      <c s="1639"/>
      <c s="1639"/>
      <c s="354"/>
      <c r="K189" s="1163"/>
      <c s="1639"/>
      <c s="1639"/>
      <c s="1163"/>
      <c s="1163"/>
      <c s="1163"/>
      <c s="1163"/>
      <c s="1639"/>
      <c s="1163"/>
      <c s="1163"/>
      <c s="547"/>
      <c s="1163"/>
      <c s="1163"/>
      <c s="1163"/>
      <c s="1163"/>
      <c s="1163"/>
      <c s="1635"/>
      <c s="569"/>
      <c s="569"/>
      <c s="569"/>
      <c s="569"/>
      <c s="1644">
        <v>11</v>
      </c>
    </row>
    <row r="190" spans="1:32" s="1644" customFormat="1" ht="11.55" customHeight="1">
      <c r="A190" s="990"/>
      <c s="1639"/>
      <c s="1639"/>
      <c s="354"/>
      <c r="K190" s="1163"/>
      <c s="1639"/>
      <c s="1639"/>
      <c s="1163"/>
      <c s="1163"/>
      <c s="1163"/>
      <c s="1163"/>
      <c s="1639"/>
      <c s="1163"/>
      <c s="1163"/>
      <c s="547"/>
      <c s="1163"/>
      <c s="1163"/>
      <c s="1163"/>
      <c s="1163"/>
      <c s="1163"/>
      <c s="1635"/>
      <c s="569"/>
      <c s="569"/>
      <c s="569"/>
      <c s="569"/>
      <c s="1644">
        <v>11</v>
      </c>
    </row>
    <row r="191" spans="1:32" s="1644" customFormat="1" ht="11.55" customHeight="1">
      <c r="A191" s="990"/>
      <c s="1639"/>
      <c s="1639"/>
      <c s="354"/>
      <c r="K191" s="1163"/>
      <c s="1639"/>
      <c s="1639"/>
      <c s="1163"/>
      <c s="1163"/>
      <c s="1163"/>
      <c s="1163"/>
      <c s="1639"/>
      <c s="1163"/>
      <c s="1163"/>
      <c s="547"/>
      <c s="1163"/>
      <c s="1163"/>
      <c s="1163"/>
      <c s="1163"/>
      <c s="1163"/>
      <c s="1635"/>
      <c s="569"/>
      <c s="569"/>
      <c s="569"/>
      <c s="569"/>
      <c s="1644">
        <v>11</v>
      </c>
    </row>
    <row r="192" spans="1:32" s="1644" customFormat="1" ht="11.55" customHeight="1">
      <c r="A192" s="990"/>
      <c s="1639"/>
      <c s="1639"/>
      <c s="354"/>
      <c r="K192" s="1163"/>
      <c s="1639"/>
      <c s="1639"/>
      <c s="1163"/>
      <c s="1163"/>
      <c s="1163"/>
      <c s="1163"/>
      <c s="1639"/>
      <c s="1163"/>
      <c s="1163"/>
      <c s="547"/>
      <c s="1163"/>
      <c s="1163"/>
      <c s="1163"/>
      <c s="1163"/>
      <c s="1163"/>
      <c s="1635"/>
      <c s="569"/>
      <c s="569"/>
      <c s="569"/>
      <c s="569"/>
      <c s="1644">
        <v>11</v>
      </c>
    </row>
    <row r="193" spans="1:32" s="1644" customFormat="1" ht="11.55" customHeight="1">
      <c r="A193" s="990"/>
      <c s="1639"/>
      <c s="1639"/>
      <c s="354"/>
      <c r="K193" s="1163"/>
      <c s="1639"/>
      <c s="1639"/>
      <c s="1163"/>
      <c s="1163"/>
      <c s="1163"/>
      <c s="1163"/>
      <c s="1639"/>
      <c s="1163"/>
      <c s="1163"/>
      <c s="547"/>
      <c s="1163"/>
      <c s="1163"/>
      <c s="1163"/>
      <c s="1163"/>
      <c s="1163"/>
      <c s="1635"/>
      <c s="569"/>
      <c s="569"/>
      <c s="569"/>
      <c s="569"/>
      <c s="1644">
        <v>11</v>
      </c>
    </row>
    <row r="194" spans="1:32" s="1644" customFormat="1" ht="11.55" customHeight="1">
      <c r="A194" s="990"/>
      <c s="1639"/>
      <c s="1639"/>
      <c s="354"/>
      <c r="K194" s="1163"/>
      <c s="1639"/>
      <c s="1639"/>
      <c s="1163"/>
      <c s="1163"/>
      <c s="1163"/>
      <c s="1163"/>
      <c s="1639"/>
      <c s="1163"/>
      <c s="1163"/>
      <c s="547"/>
      <c s="1163"/>
      <c s="1163"/>
      <c s="1163"/>
      <c s="1163"/>
      <c s="1163"/>
      <c s="1635"/>
      <c s="569"/>
      <c s="569"/>
      <c s="569"/>
      <c s="569"/>
      <c s="1644">
        <v>11</v>
      </c>
    </row>
    <row r="195" spans="1:32" s="1644" customFormat="1" ht="11.55" customHeight="1">
      <c r="A195" s="990"/>
      <c s="1639"/>
      <c s="1639"/>
      <c s="354"/>
      <c r="K195" s="1163"/>
      <c s="1639"/>
      <c s="1639"/>
      <c s="1163"/>
      <c s="1163"/>
      <c s="1163"/>
      <c s="1163"/>
      <c s="1639"/>
      <c s="1163"/>
      <c s="1163"/>
      <c s="547"/>
      <c s="1163"/>
      <c s="1163"/>
      <c s="1163"/>
      <c s="1163"/>
      <c s="1163"/>
      <c s="1635"/>
      <c s="569"/>
      <c s="569"/>
      <c s="569"/>
      <c s="569"/>
      <c s="1644">
        <v>11</v>
      </c>
    </row>
    <row r="196" spans="1:32" s="1644" customFormat="1" ht="11.55" customHeight="1">
      <c r="A196" s="990"/>
      <c s="1639"/>
      <c s="1639"/>
      <c s="354"/>
      <c r="K196" s="1163"/>
      <c s="1639"/>
      <c s="1639"/>
      <c s="1163"/>
      <c s="1163"/>
      <c s="1163"/>
      <c s="1163"/>
      <c s="1639"/>
      <c s="1163"/>
      <c s="1163"/>
      <c s="547"/>
      <c s="1163"/>
      <c s="1163"/>
      <c s="1163"/>
      <c s="1163"/>
      <c s="1163"/>
      <c s="1635"/>
      <c s="569"/>
      <c s="569"/>
      <c s="569"/>
      <c s="569"/>
      <c s="1644">
        <v>11</v>
      </c>
    </row>
    <row r="197" spans="1:32" s="1644" customFormat="1" ht="11.55" customHeight="1">
      <c r="A197" s="990"/>
      <c s="1639"/>
      <c s="1639"/>
      <c s="354"/>
      <c r="K197" s="1163"/>
      <c s="1639"/>
      <c s="1639"/>
      <c s="1163"/>
      <c s="1163"/>
      <c s="1163"/>
      <c s="1163"/>
      <c s="1639"/>
      <c s="1163"/>
      <c s="1163"/>
      <c s="547"/>
      <c s="1163"/>
      <c s="1163"/>
      <c s="1163"/>
      <c s="1163"/>
      <c s="1163"/>
      <c s="1635"/>
      <c s="569"/>
      <c s="569"/>
      <c s="569"/>
      <c s="569"/>
      <c s="1644">
        <v>11</v>
      </c>
    </row>
    <row r="198" spans="1:32" s="1644" customFormat="1" ht="11.55" customHeight="1">
      <c r="A198" s="990"/>
      <c s="1639"/>
      <c s="1639"/>
      <c s="354"/>
      <c r="K198" s="1163"/>
      <c s="1639"/>
      <c s="1639"/>
      <c s="1163"/>
      <c s="1163"/>
      <c s="1163"/>
      <c s="1163"/>
      <c s="1639"/>
      <c s="1163"/>
      <c s="1163"/>
      <c s="547"/>
      <c s="1163"/>
      <c s="1163"/>
      <c s="1163"/>
      <c s="1163"/>
      <c s="1163"/>
      <c s="1635"/>
      <c s="569"/>
      <c s="569"/>
      <c s="569"/>
      <c s="569"/>
      <c s="1644">
        <v>11</v>
      </c>
    </row>
    <row r="199" spans="1:32" s="1644" customFormat="1" ht="11.55" customHeight="1">
      <c r="A199" s="990"/>
      <c s="1639"/>
      <c s="1639"/>
      <c s="354"/>
      <c r="K199" s="1163"/>
      <c s="1639"/>
      <c s="1639"/>
      <c s="1163"/>
      <c s="1163"/>
      <c s="1163"/>
      <c s="1163"/>
      <c s="1639"/>
      <c s="1163"/>
      <c s="1163"/>
      <c s="547"/>
      <c s="1163"/>
      <c s="1163"/>
      <c s="1163"/>
      <c s="1163"/>
      <c s="1163"/>
      <c s="1635"/>
      <c s="569"/>
      <c s="569"/>
      <c s="569"/>
      <c s="569"/>
      <c s="1644">
        <v>11</v>
      </c>
    </row>
    <row r="200" spans="1:32" s="1644" customFormat="1" ht="11.55" customHeight="1">
      <c r="A200" s="990"/>
      <c s="1639"/>
      <c s="1639"/>
      <c s="354"/>
      <c r="K200" s="1163"/>
      <c s="1639"/>
      <c s="1639"/>
      <c s="1163"/>
      <c s="1163"/>
      <c s="1163"/>
      <c s="1163"/>
      <c s="1639"/>
      <c s="1163"/>
      <c s="1163"/>
      <c s="547"/>
      <c s="1163"/>
      <c s="1163"/>
      <c s="1163"/>
      <c s="1163"/>
      <c s="1163"/>
      <c s="1635"/>
      <c s="569"/>
      <c s="569"/>
      <c s="569"/>
      <c s="569"/>
      <c s="1644">
        <v>11</v>
      </c>
    </row>
    <row r="201" spans="1:32" s="1644" customFormat="1" ht="11.55" customHeight="1">
      <c r="A201" s="990"/>
      <c s="1639"/>
      <c s="1639"/>
      <c s="354"/>
      <c r="K201" s="1163"/>
      <c s="1639"/>
      <c s="1639"/>
      <c s="1163"/>
      <c s="1163"/>
      <c s="1163"/>
      <c s="1163"/>
      <c s="1639"/>
      <c s="1163"/>
      <c s="1163"/>
      <c s="547"/>
      <c s="1163"/>
      <c s="1163"/>
      <c s="1163"/>
      <c s="1163"/>
      <c s="1163"/>
      <c s="1635"/>
      <c s="569"/>
      <c s="569"/>
      <c s="569"/>
      <c s="569"/>
      <c s="1644">
        <v>11</v>
      </c>
    </row>
    <row r="202" spans="1:32" s="1644" customFormat="1" ht="11.55" customHeight="1">
      <c r="A202" s="990"/>
      <c s="1639"/>
      <c s="1639"/>
      <c s="354"/>
      <c r="K202" s="1163"/>
      <c s="1639"/>
      <c s="1639"/>
      <c s="1163"/>
      <c s="1163"/>
      <c s="1163"/>
      <c s="1163"/>
      <c s="1639"/>
      <c s="1163"/>
      <c s="1163"/>
      <c s="547"/>
      <c s="1163"/>
      <c s="1163"/>
      <c s="1163"/>
      <c s="1163"/>
      <c s="1163"/>
      <c s="1635"/>
      <c s="569"/>
      <c s="569"/>
      <c s="569"/>
      <c s="569"/>
      <c s="1644">
        <v>11</v>
      </c>
    </row>
    <row r="203" spans="32:32" ht="11.55" customHeight="1">
      <c r="AF203" s="1634">
        <v>11</v>
      </c>
    </row>
    <row r="204" spans="32:32" ht="11.55" customHeight="1">
      <c r="AF204" s="1634">
        <v>11</v>
      </c>
    </row>
    <row r="205" spans="32:32" ht="11.55" customHeight="1">
      <c r="AF205" s="1634">
        <v>11</v>
      </c>
    </row>
    <row r="206" spans="1:32" ht="11.55" customHeight="1">
      <c r="A206" s="993"/>
      <c s="1634"/>
      <c r="D206" s="1634"/>
      <c r="K206" s="1634"/>
      <c r="N206" s="1634"/>
      <c s="1634"/>
      <c s="1634"/>
      <c s="1634"/>
      <c r="S206" s="1634"/>
      <c s="1634"/>
      <c s="1634"/>
      <c s="1634"/>
      <c s="1634"/>
      <c s="1634"/>
      <c s="1634"/>
      <c s="1634"/>
      <c s="1634"/>
      <c s="1634"/>
      <c s="1634"/>
      <c s="1634"/>
      <c s="1634"/>
      <c s="1634">
        <v>11</v>
      </c>
    </row>
    <row r="207" spans="1:32" ht="11.55" customHeight="1">
      <c r="A207" s="993"/>
      <c s="1634"/>
      <c r="D207" s="1634"/>
      <c r="K207" s="1634"/>
      <c r="N207" s="1634"/>
      <c s="1634"/>
      <c s="1634"/>
      <c s="1634"/>
      <c r="S207" s="1634"/>
      <c s="1634"/>
      <c s="1634"/>
      <c s="1634"/>
      <c s="1634"/>
      <c s="1634"/>
      <c s="1634"/>
      <c s="1634"/>
      <c s="1634"/>
      <c s="1634"/>
      <c s="1634"/>
      <c s="1634"/>
      <c s="1634"/>
      <c s="1634">
        <v>11</v>
      </c>
    </row>
    <row r="208" spans="1:32" ht="11.55" customHeight="1">
      <c r="A208" s="993"/>
      <c s="1634"/>
      <c r="D208" s="1634"/>
      <c r="K208" s="1634"/>
      <c r="N208" s="1634"/>
      <c s="1634"/>
      <c s="1634"/>
      <c s="1634"/>
      <c r="S208" s="1634"/>
      <c s="1634"/>
      <c s="1634"/>
      <c s="1634"/>
      <c s="1634"/>
      <c s="1634"/>
      <c s="1634"/>
      <c s="1634"/>
      <c s="1634"/>
      <c s="1634"/>
      <c s="1634"/>
      <c s="1634"/>
      <c s="1634"/>
      <c s="1634">
        <v>11</v>
      </c>
    </row>
    <row r="209" spans="1:32" ht="11.55" customHeight="1">
      <c r="A209" s="993"/>
      <c s="1634"/>
      <c r="D209" s="1634"/>
      <c r="K209" s="1634"/>
      <c r="N209" s="1634"/>
      <c s="1634"/>
      <c s="1634"/>
      <c s="1634"/>
      <c r="S209" s="1634"/>
      <c s="1634"/>
      <c s="1634"/>
      <c s="1634"/>
      <c s="1634"/>
      <c s="1634"/>
      <c s="1634"/>
      <c s="1634"/>
      <c s="1634"/>
      <c s="1634"/>
      <c s="1634"/>
      <c s="1634"/>
      <c s="1634"/>
      <c s="1634">
        <v>11</v>
      </c>
    </row>
    <row r="210" spans="1:32" ht="11.55" customHeight="1">
      <c r="A210" s="993"/>
      <c s="1634"/>
      <c r="D210" s="1634"/>
      <c r="K210" s="1634"/>
      <c r="N210" s="1634"/>
      <c s="1634"/>
      <c s="1634"/>
      <c s="1634"/>
      <c r="S210" s="1634"/>
      <c s="1634"/>
      <c s="1634"/>
      <c s="1634"/>
      <c s="1634"/>
      <c s="1634"/>
      <c s="1634"/>
      <c s="1634"/>
      <c s="1634"/>
      <c s="1634"/>
      <c s="1634"/>
      <c s="1634"/>
      <c s="1634"/>
      <c s="1634">
        <v>11</v>
      </c>
    </row>
    <row r="211" spans="1:32" ht="11.55" customHeight="1">
      <c r="A211" s="993"/>
      <c s="1634"/>
      <c r="D211" s="1634"/>
      <c r="K211" s="1634"/>
      <c r="N211" s="1634"/>
      <c s="1634"/>
      <c s="1634"/>
      <c s="1634"/>
      <c r="S211" s="1634"/>
      <c s="1634"/>
      <c s="1634"/>
      <c s="1634"/>
      <c s="1634"/>
      <c s="1634"/>
      <c s="1634"/>
      <c s="1634"/>
      <c s="1634"/>
      <c s="1634"/>
      <c s="1634"/>
      <c s="1634"/>
      <c s="1634"/>
      <c s="1634">
        <v>11</v>
      </c>
    </row>
    <row r="212" spans="1:32" ht="11.55" customHeight="1">
      <c r="A212" s="993"/>
      <c s="1634"/>
      <c r="D212" s="1634"/>
      <c r="K212" s="1634"/>
      <c r="N212" s="1634"/>
      <c s="1634"/>
      <c s="1634"/>
      <c s="1634"/>
      <c r="S212" s="1634"/>
      <c s="1634"/>
      <c s="1634"/>
      <c s="1634"/>
      <c s="1634"/>
      <c s="1634"/>
      <c s="1634"/>
      <c s="1634"/>
      <c s="1634"/>
      <c s="1634"/>
      <c s="1634"/>
      <c s="1634"/>
      <c s="1634"/>
      <c s="1634">
        <v>11</v>
      </c>
    </row>
    <row r="213" spans="1:32" ht="11.55" customHeight="1">
      <c r="A213" s="993"/>
      <c s="1634"/>
      <c r="D213" s="1634"/>
      <c r="K213" s="1634"/>
      <c r="N213" s="1634"/>
      <c s="1634"/>
      <c s="1634"/>
      <c s="1634"/>
      <c r="S213" s="1634"/>
      <c s="1634"/>
      <c s="1634"/>
      <c s="1634"/>
      <c s="1634"/>
      <c s="1634"/>
      <c s="1634"/>
      <c s="1634"/>
      <c s="1634"/>
      <c s="1634"/>
      <c s="1634"/>
      <c s="1634"/>
      <c s="1634"/>
      <c s="1634">
        <v>11</v>
      </c>
    </row>
    <row r="214" spans="1:32" ht="11.55" customHeight="1">
      <c r="A214" s="993"/>
      <c s="1634"/>
      <c r="D214" s="1634"/>
      <c r="K214" s="1634"/>
      <c r="N214" s="1634"/>
      <c s="1634"/>
      <c s="1634"/>
      <c s="1634"/>
      <c r="S214" s="1634"/>
      <c s="1634"/>
      <c s="1634"/>
      <c s="1634"/>
      <c s="1634"/>
      <c s="1634"/>
      <c s="1634"/>
      <c s="1634"/>
      <c s="1634"/>
      <c s="1634"/>
      <c s="1634"/>
      <c s="1634"/>
      <c s="1634"/>
      <c s="1634">
        <v>11</v>
      </c>
    </row>
    <row r="215" spans="1:32" ht="11.55" customHeight="1">
      <c r="A215" s="993"/>
      <c s="1634"/>
      <c r="D215" s="1634"/>
      <c r="K215" s="1634"/>
      <c r="N215" s="1634"/>
      <c s="1634"/>
      <c s="1634"/>
      <c s="1634"/>
      <c r="S215" s="1634"/>
      <c s="1634"/>
      <c s="1634"/>
      <c s="1634"/>
      <c s="1634"/>
      <c s="1634"/>
      <c s="1634"/>
      <c s="1634"/>
      <c s="1634"/>
      <c s="1634"/>
      <c s="1634"/>
      <c s="1634"/>
      <c s="1634"/>
      <c s="1634">
        <v>11</v>
      </c>
    </row>
    <row r="216" spans="1:32" ht="11.55" customHeight="1">
      <c r="A216" s="993"/>
      <c s="1634"/>
      <c r="D216" s="1634"/>
      <c r="K216" s="1634"/>
      <c r="N216" s="1634"/>
      <c s="1634"/>
      <c s="1634"/>
      <c s="1634"/>
      <c r="S216" s="1634"/>
      <c s="1634"/>
      <c s="1634"/>
      <c s="1634"/>
      <c s="1634"/>
      <c s="1634"/>
      <c s="1634"/>
      <c s="1634"/>
      <c s="1634"/>
      <c s="1634"/>
      <c s="1634"/>
      <c s="1634"/>
      <c s="1634"/>
      <c s="1634">
        <v>11</v>
      </c>
    </row>
    <row r="217" spans="1:32" ht="11.25" customHeight="1" hidden="1">
      <c r="A217" s="990" t="s">
        <v>81</v>
      </c>
      <c s="1163">
        <v>0</v>
      </c>
      <c s="1639">
        <v>0</v>
      </c>
      <c s="1638">
        <v>3</v>
      </c>
      <c s="1634">
        <v>7</v>
      </c>
      <c s="1634">
        <v>56</v>
      </c>
      <c s="1634">
        <v>10</v>
      </c>
      <c s="1634">
        <v>0</v>
      </c>
      <c s="1634">
        <v>40</v>
      </c>
      <c s="1634">
        <v>102</v>
      </c>
      <c s="1163">
        <v>9</v>
      </c>
      <c s="1639">
        <v>5</v>
      </c>
      <c s="1639">
        <v>3</v>
      </c>
      <c s="1163">
        <v>3</v>
      </c>
      <c s="1163">
        <v>3</v>
      </c>
      <c s="1163">
        <v>3</v>
      </c>
      <c s="1163">
        <v>3</v>
      </c>
      <c s="1639">
        <v>10</v>
      </c>
      <c s="1163">
        <v>34</v>
      </c>
      <c s="1163">
        <v>9</v>
      </c>
      <c s="547">
        <v>8</v>
      </c>
      <c s="1163">
        <v>8</v>
      </c>
      <c s="1163">
        <v>8</v>
      </c>
      <c s="1163">
        <v>8</v>
      </c>
      <c s="1163">
        <v>8</v>
      </c>
      <c s="1163">
        <v>8</v>
      </c>
      <c s="1635">
        <v>8</v>
      </c>
      <c s="1635">
        <v>8</v>
      </c>
      <c s="1635">
        <v>8</v>
      </c>
      <c s="1635">
        <v>8</v>
      </c>
      <c s="1635">
        <v>8</v>
      </c>
      <c s="1634">
        <v>11</v>
      </c>
    </row>
  </sheetData>
  <sheetProtection formatColumns="0" formatRows="0" insertRows="0" deleteColumns="0" deleteRows="0" sort="0" autoFilter="0"/>
  <mergeCells count="7">
    <mergeCell ref="E6:I6"/>
    <mergeCell ref="E7:I7"/>
    <mergeCell ref="F10:G10"/>
    <mergeCell ref="J10:J14"/>
    <mergeCell ref="F11:G11"/>
    <mergeCell ref="F12:G12"/>
    <mergeCell ref="E13:G13"/>
  </mergeCells>
  <dataValidations count="5">
    <dataValidation type="textLength" operator="lessThanOrEqual" allowBlank="1" showInputMessage="1" showErrorMessage="1" prompt="Введите наименование прочих расходов" errorTitle="Ошибка" error="Допускается ввод не более 900 символов!" sqref="H33:I33">
      <formula1>900</formula1>
    </dataValidation>
    <dataValidation type="decimal" allowBlank="1" showErrorMessage="1" errorTitle="Ошибка" error="Допускается ввод только неотрицательных чисел!" sqref="H2:I2 H38:I39 H15:I15 H17:I32 H35:I35 H44:I46">
      <formula1>0</formula1>
      <formula2>9.99999999999999E+23</formula2>
    </dataValidation>
    <dataValidation type="textLength" operator="lessThanOrEqual" allowBlank="1" showInputMessage="1" showErrorMessage="1" prompt="Введите ссылку на обосновывающие материалы, загруженные с помощью &quot;ЕИАС Web&quot;." errorTitle="Ошибка" error="Допускается ввод не более 900 символов!" sqref="H43:I43">
      <formula1>900</formula1>
    </dataValidation>
    <dataValidation type="decimal" allowBlank="1" showErrorMessage="1" errorTitle="Ошибка" error="Допускается ввод только действительных чисел!" sqref="H36:I37">
      <formula1>-0999999999999999000000000</formula1>
      <formula2>9.99999999999999E+23</formula2>
    </dataValidation>
    <dataValidation type="decimal" allowBlank="1" showErrorMessage="1" errorTitle="Ошибка" error="Допускается ввод только действительных чисел!" sqref="H40:I42">
      <formula1>-099999999999999900000000000000000000000</formula1>
      <formula2>9.99999999999999E+37</formula2>
    </dataValidation>
  </dataValidations>
  <pageMargins left="0.7" right="0.7" top="0.75" bottom="0.75" header="0.3" footer="0.3"/>
  <pageSetup orientation="portrait" paperSize="9"/>
</worksheet>
</file>

<file path=xl/worksheets/sheet3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m="http://schemas.microsoft.com/office/excel/2006/main" xmlns:x14ac="http://schemas.microsoft.com/office/spreadsheetml/2009/9/ac" xmlns:xr="http://schemas.microsoft.com/office/spreadsheetml/2014/revision" xmlns:xr2="http://schemas.microsoft.com/office/spreadsheetml/2015/revision2" xmlns:xr3="http://schemas.microsoft.com/office/spreadsheetml/2016/revision3" xr:uid="{A83A983B-D866-9FF5-AF25-6123A9C4465E}" mc:Ignorable="x14ac xr xr2 xr3">
  <sheetPr>
    <tabColor theme="9" tint="-0.249980002641678"/>
  </sheetPr>
  <dimension ref="A1:AF210"/>
  <sheetViews>
    <sheetView showGridLines="0" zoomScale="90" zoomScaleNormal="90" workbookViewId="0" topLeftCell="A1">
      <pane xSplit="8" ySplit="14" topLeftCell="I15" activePane="bottomRight" state="frozen"/>
      <selection pane="topLeft" activeCell="A1" sqref="A1"/>
      <selection pane="bottomLeft" activeCell="A15" sqref="A15"/>
      <selection pane="topRight" activeCell="I1" sqref="I1"/>
      <selection pane="bottomRight" activeCell="A1" sqref="A1"/>
    </sheetView>
  </sheetViews>
  <sheetFormatPr defaultColWidth="9.14428571428571" defaultRowHeight="11.25" customHeight="1"/>
  <cols>
    <col min="1" max="1" width="10.7142857142857" style="990" hidden="1" customWidth="1"/>
    <col min="2" max="2" width="16.8571428571429" style="1369" hidden="1" customWidth="1"/>
    <col min="3" max="3" width="5.57142857142857" style="1645" hidden="1" customWidth="1"/>
    <col min="4" max="4" width="3" style="1638" customWidth="1"/>
    <col min="5" max="5" width="7" style="1638" customWidth="1"/>
    <col min="6" max="6" width="54" style="1638" customWidth="1"/>
    <col min="7" max="7" width="10" style="1638" customWidth="1"/>
    <col min="8" max="8" width="40.7142857142857" style="1638" hidden="1" customWidth="1"/>
    <col min="9" max="9" width="40" style="1638" customWidth="1"/>
    <col min="10" max="10" width="102" style="1638" customWidth="1"/>
    <col min="11" max="11" width="9" style="1369" customWidth="1"/>
    <col min="12" max="12" width="5" style="1645" customWidth="1"/>
    <col min="13" max="13" width="3" style="1645" customWidth="1"/>
    <col min="14" max="17" width="3" style="1369" customWidth="1"/>
    <col min="18" max="18" width="10" style="1645" customWidth="1"/>
    <col min="19" max="19" width="34" style="1369" customWidth="1"/>
    <col min="20" max="20" width="9" style="1369" customWidth="1"/>
    <col min="21" max="21" width="8" style="739" customWidth="1"/>
    <col min="22" max="26" width="8" style="1369" customWidth="1"/>
    <col min="27" max="31" width="8" style="1635" customWidth="1"/>
    <col min="32" max="32" width="9.14285714285714" style="1638" hidden="1"/>
  </cols>
  <sheetData>
    <row r="1" spans="1:32" s="1369" customFormat="1" ht="22.5" customHeight="1" hidden="1">
      <c r="A1" s="990"/>
      <c r="C1" s="1639"/>
      <c s="540"/>
      <c r="H1" s="1163">
        <v>4</v>
      </c>
      <c s="1163">
        <v>4</v>
      </c>
      <c r="L1" s="1639"/>
      <c s="1639"/>
      <c r="R1" s="1639"/>
      <c r="AF1" s="1163" t="s">
        <v>14</v>
      </c>
    </row>
    <row r="2" spans="1:32" s="1369" customFormat="1" ht="22.5" customHeight="1" hidden="1">
      <c r="A2" s="990"/>
      <c r="C2" s="1639"/>
      <c s="541"/>
      <c s="1661"/>
      <c s="543"/>
      <c s="1660" t="s">
        <v>552</v>
      </c>
      <c s="544"/>
      <c s="544"/>
      <c s="545" t="s">
        <v>555</v>
      </c>
      <c s="546"/>
      <c s="1639"/>
      <c s="1639"/>
      <c r="R2" s="1639"/>
      <c r="U2" s="547"/>
      <c r="AA2" s="1635"/>
      <c s="1635"/>
      <c s="1635"/>
      <c s="1635"/>
      <c s="1635"/>
      <c s="1163">
        <v>0</v>
      </c>
    </row>
    <row r="3" spans="32:32" ht="11.25" customHeight="1" hidden="1">
      <c r="AF3" s="1634">
        <v>0</v>
      </c>
    </row>
    <row r="4" spans="1:32" s="1635" customFormat="1" ht="11.25" customHeight="1" hidden="1">
      <c r="A4" s="990"/>
      <c s="1163"/>
      <c s="1639"/>
      <c s="365"/>
      <c r="J4" s="1635">
        <v>4</v>
      </c>
      <c s="1163"/>
      <c s="1639"/>
      <c s="1639"/>
      <c s="1163"/>
      <c s="1163"/>
      <c s="1163"/>
      <c s="1163"/>
      <c s="1639"/>
      <c s="1163"/>
      <c s="1163"/>
      <c s="547"/>
      <c s="1163"/>
      <c s="1163"/>
      <c s="1163"/>
      <c s="1163"/>
      <c s="1163"/>
      <c r="AF4" s="1635">
        <v>0</v>
      </c>
    </row>
    <row r="5" spans="32:32" ht="11.55" customHeight="1">
      <c r="AF5" s="1634">
        <v>11</v>
      </c>
    </row>
    <row r="6" spans="5:32" ht="33.75" customHeight="1">
      <c r="E6" s="2251" t="s">
        <v>775</v>
      </c>
      <c s="2251"/>
      <c s="2251"/>
      <c s="2251"/>
      <c s="2251"/>
      <c s="559"/>
      <c r="AF6" s="1634">
        <v>32</v>
      </c>
    </row>
    <row r="7" spans="5:32" ht="25.2" customHeight="1">
      <c r="E7" s="2252" t="str">
        <f>IF(org=0,"Не определено",org)</f>
        <v>ГУП КК "Кубаньводкомплекс"</v>
      </c>
      <c s="2252"/>
      <c s="2252"/>
      <c s="2252"/>
      <c s="2252"/>
      <c r="AF7" s="1634">
        <v>24</v>
      </c>
    </row>
    <row r="8" spans="5:32" ht="11.55" customHeight="1">
      <c r="E8" s="1138"/>
      <c s="1138"/>
      <c s="1138"/>
      <c s="1138"/>
      <c s="1138"/>
      <c r="AF8" s="1634">
        <v>11</v>
      </c>
    </row>
    <row r="9" spans="1:32" s="1645" customFormat="1" ht="1.05" customHeight="1">
      <c r="A9" s="1170"/>
      <c r="D9" s="1645"/>
      <c r="H9" s="892"/>
      <c s="892" t="s">
        <v>118</v>
      </c>
      <c r="AF9" s="1639">
        <v>1</v>
      </c>
    </row>
    <row r="10" spans="5:32" ht="11.55" customHeight="1">
      <c r="E10" s="714"/>
      <c s="2370" t="s">
        <v>105</v>
      </c>
      <c s="2371"/>
      <c s="1662" t="str">
        <f>IF(H9="","",INDEX(DIFFERENTIATION_UNMERGE_VD,MATCH(H9,DIFFERENTIATION_ID_DIFF,0)))</f>
        <v/>
      </c>
      <c s="1662" t="str">
        <f>IF(I9="","",INDEX(DIFFERENTIATION_UNMERGE_VD,MATCH(I9,DIFFERENTIATION_ID_DIFF,0)))</f>
        <v>Водоотведение; Транспортировка; Подключение (технологическое присоединение) к централизованной системе водоотведения</v>
      </c>
      <c s="2130"/>
      <c r="AF10" s="1634">
        <v>11</v>
      </c>
    </row>
    <row r="11" spans="5:32" ht="11.55" customHeight="1">
      <c r="E11" s="714"/>
      <c s="2370" t="s">
        <v>564</v>
      </c>
      <c s="2371"/>
      <c s="1662" t="str">
        <f>IF(H9="","",INDEX(DIFFERENTIATION_UNMERGE_AREA,MATCH(H9,DIFFERENTIATION_ID_DIFF,0)))</f>
        <v/>
      </c>
      <c s="1662" t="str">
        <f>IF(I9="","",INDEX(DIFFERENTIATION_UNMERGE_AREA,MATCH(I9,DIFFERENTIATION_ID_DIFF,0)))</f>
        <v>Территория 1</v>
      </c>
      <c s="2130"/>
      <c r="AF11" s="1634">
        <v>11</v>
      </c>
    </row>
    <row r="12" spans="5:32" ht="11.25" customHeight="1" hidden="1">
      <c r="E12" s="1665"/>
      <c s="2393" t="s">
        <v>565</v>
      </c>
      <c s="2394"/>
      <c s="1666" t="str">
        <f>IF(H9="","",INDEX(DIFFERENTIATION_UNMERGE_SYSTEM,MATCH(H9,DIFFERENTIATION_ID_DIFF,0)))</f>
        <v/>
      </c>
      <c s="1666" t="str">
        <f>IF(I9="","",INDEX(DIFFERENTIATION_UNMERGE_SYSTEM,MATCH(I9,DIFFERENTIATION_ID_DIFF,0)))</f>
        <v>Ейский групповой водопровод (разводящие сети)</v>
      </c>
      <c s="2130"/>
      <c r="AF12" s="1634">
        <v>0</v>
      </c>
    </row>
    <row r="13" spans="5:32" ht="11.55" customHeight="1">
      <c r="E13" s="2372" t="s">
        <v>300</v>
      </c>
      <c s="2373"/>
      <c s="2373"/>
      <c s="1659"/>
      <c s="1659"/>
      <c s="2130"/>
      <c r="AF13" s="1634">
        <v>11</v>
      </c>
    </row>
    <row r="14" spans="5:32" ht="24" customHeight="1">
      <c r="E14" s="1660" t="s">
        <v>87</v>
      </c>
      <c s="1663" t="s">
        <v>302</v>
      </c>
      <c s="1663" t="s">
        <v>566</v>
      </c>
      <c s="1663" t="s">
        <v>303</v>
      </c>
      <c s="1663" t="s">
        <v>303</v>
      </c>
      <c s="2130"/>
      <c r="AF14" s="1634">
        <v>23</v>
      </c>
    </row>
    <row r="15" spans="4:32" ht="19.95" customHeight="1">
      <c r="D15" s="1641"/>
      <c s="1633" t="s">
        <v>109</v>
      </c>
      <c s="710" t="s">
        <v>776</v>
      </c>
      <c s="1660" t="s">
        <v>552</v>
      </c>
      <c s="560"/>
      <c s="560"/>
      <c s="292" t="s">
        <v>777</v>
      </c>
      <c s="546" t="s">
        <v>630</v>
      </c>
      <c r="AF15" s="1634">
        <v>19</v>
      </c>
    </row>
    <row r="16" spans="4:32" ht="24" customHeight="1">
      <c r="D16" s="1641"/>
      <c s="1633" t="s">
        <v>110</v>
      </c>
      <c s="1668" t="s">
        <v>778</v>
      </c>
      <c s="1660" t="s">
        <v>552</v>
      </c>
      <c s="561">
        <f>SUM(H17,H20:H27)</f>
        <v>0</v>
      </c>
      <c s="561">
        <f>SUM(I17,I20:I27)</f>
        <v>0</v>
      </c>
      <c s="292" t="s">
        <v>779</v>
      </c>
      <c s="546" t="s">
        <v>630</v>
      </c>
      <c r="AF16" s="1634">
        <v>23</v>
      </c>
    </row>
    <row r="17" spans="4:32" ht="35.7" customHeight="1">
      <c r="D17" s="1641"/>
      <c s="1667" t="s">
        <v>709</v>
      </c>
      <c s="1670" t="s">
        <v>780</v>
      </c>
      <c s="1657" t="s">
        <v>552</v>
      </c>
      <c s="560"/>
      <c s="560"/>
      <c s="292" t="s">
        <v>781</v>
      </c>
      <c s="546"/>
      <c r="AF17" s="1634">
        <v>34</v>
      </c>
    </row>
    <row r="18" spans="4:32" ht="19.95" customHeight="1">
      <c r="D18" s="1641"/>
      <c s="1667" t="s">
        <v>712</v>
      </c>
      <c s="1671" t="s">
        <v>782</v>
      </c>
      <c s="1657" t="s">
        <v>552</v>
      </c>
      <c s="560"/>
      <c s="560"/>
      <c s="292"/>
      <c s="546"/>
      <c r="AF18" s="1634">
        <v>19</v>
      </c>
    </row>
    <row r="19" spans="4:32" ht="24" customHeight="1">
      <c r="D19" s="1641"/>
      <c s="1667" t="s">
        <v>715</v>
      </c>
      <c s="1671" t="s">
        <v>783</v>
      </c>
      <c s="1657" t="s">
        <v>552</v>
      </c>
      <c s="560"/>
      <c s="560"/>
      <c s="292"/>
      <c s="546"/>
      <c r="AF19" s="1634">
        <v>23</v>
      </c>
    </row>
    <row r="20" spans="4:32" ht="35.7" customHeight="1">
      <c r="D20" s="1641"/>
      <c s="1667" t="s">
        <v>307</v>
      </c>
      <c s="1670" t="s">
        <v>784</v>
      </c>
      <c s="1657" t="s">
        <v>552</v>
      </c>
      <c s="560"/>
      <c s="560"/>
      <c s="292"/>
      <c s="546"/>
      <c r="AF20" s="1634">
        <v>34</v>
      </c>
    </row>
    <row r="21" spans="4:32" ht="48.3" customHeight="1">
      <c r="D21" s="1641"/>
      <c s="1667" t="s">
        <v>310</v>
      </c>
      <c s="1670" t="s">
        <v>785</v>
      </c>
      <c s="1657" t="s">
        <v>552</v>
      </c>
      <c s="560"/>
      <c s="560"/>
      <c s="292"/>
      <c s="546"/>
      <c r="AF21" s="1634">
        <v>46</v>
      </c>
    </row>
    <row r="22" spans="4:32" ht="60" customHeight="1">
      <c r="D22" s="1641"/>
      <c s="1667" t="s">
        <v>729</v>
      </c>
      <c s="1670" t="s">
        <v>786</v>
      </c>
      <c s="1657" t="s">
        <v>552</v>
      </c>
      <c s="560"/>
      <c s="560"/>
      <c s="292"/>
      <c s="546"/>
      <c r="AF22" s="1634">
        <v>57</v>
      </c>
    </row>
    <row r="23" spans="4:32" ht="35.7" customHeight="1">
      <c r="D23" s="1641"/>
      <c s="1667" t="s">
        <v>736</v>
      </c>
      <c s="1670" t="s">
        <v>787</v>
      </c>
      <c s="1657" t="s">
        <v>552</v>
      </c>
      <c s="560"/>
      <c s="560"/>
      <c s="292"/>
      <c s="546"/>
      <c r="AF23" s="1634">
        <v>34</v>
      </c>
    </row>
    <row r="24" spans="4:32" ht="35.7" customHeight="1">
      <c r="D24" s="1641"/>
      <c s="1667" t="s">
        <v>738</v>
      </c>
      <c s="1670" t="s">
        <v>788</v>
      </c>
      <c s="1657" t="s">
        <v>552</v>
      </c>
      <c s="560"/>
      <c s="560"/>
      <c s="292"/>
      <c s="546"/>
      <c r="AF24" s="1634">
        <v>34</v>
      </c>
    </row>
    <row r="25" spans="4:32" ht="24" customHeight="1">
      <c r="D25" s="1641"/>
      <c s="1667" t="s">
        <v>740</v>
      </c>
      <c s="1670" t="s">
        <v>789</v>
      </c>
      <c s="1657" t="s">
        <v>552</v>
      </c>
      <c s="560"/>
      <c s="560"/>
      <c s="292"/>
      <c s="546"/>
      <c r="AF25" s="1634">
        <v>23</v>
      </c>
    </row>
    <row r="26" spans="4:32" ht="76.5" customHeight="1">
      <c r="D26" s="1641"/>
      <c s="1667" t="s">
        <v>742</v>
      </c>
      <c s="1670" t="s">
        <v>790</v>
      </c>
      <c s="1657" t="s">
        <v>552</v>
      </c>
      <c s="560"/>
      <c s="560"/>
      <c s="292"/>
      <c s="546"/>
      <c r="AF26" s="1634">
        <v>73</v>
      </c>
    </row>
    <row r="27" spans="1:32" s="1369" customFormat="1" ht="35.7" customHeight="1">
      <c r="A27" s="990"/>
      <c r="C27" s="1639"/>
      <c s="1641"/>
      <c s="1632" t="s">
        <v>746</v>
      </c>
      <c s="1631" t="s">
        <v>791</v>
      </c>
      <c s="1658" t="s">
        <v>552</v>
      </c>
      <c s="582">
        <f>SUM(H28:H29)</f>
        <v>0</v>
      </c>
      <c s="582">
        <f>SUM(I28:I29)</f>
        <v>0</v>
      </c>
      <c s="292" t="s">
        <v>744</v>
      </c>
      <c s="546"/>
      <c s="1639"/>
      <c s="1639"/>
      <c r="R27" s="1639"/>
      <c r="U27" s="547"/>
      <c r="AA27" s="1635"/>
      <c s="1635"/>
      <c s="1635"/>
      <c s="1635"/>
      <c s="1635"/>
      <c s="1163">
        <v>34</v>
      </c>
    </row>
    <row r="28" spans="1:32" s="1645" customFormat="1" ht="1.05" customHeight="1">
      <c r="A28" s="1170"/>
      <c r="D28" s="551"/>
      <c s="805" t="str">
        <f>E27&amp;".0"</f>
        <v>2.9.0</v>
      </c>
      <c s="994"/>
      <c s="554"/>
      <c s="995"/>
      <c s="995"/>
      <c s="996"/>
      <c r="AF28" s="1639">
        <v>1</v>
      </c>
    </row>
    <row r="29" spans="1:32" s="1369" customFormat="1" ht="19.95" customHeight="1">
      <c r="A29" s="990"/>
      <c r="C29" s="1639"/>
      <c s="1636"/>
      <c s="573"/>
      <c s="1669" t="s">
        <v>577</v>
      </c>
      <c s="575"/>
      <c s="576"/>
      <c s="576"/>
      <c s="304" t="s">
        <v>745</v>
      </c>
      <c s="546"/>
      <c s="1639"/>
      <c s="1639"/>
      <c r="R29" s="1639"/>
      <c r="U29" s="547"/>
      <c r="AA29" s="1635"/>
      <c s="1635"/>
      <c s="1635"/>
      <c s="1635"/>
      <c s="1635"/>
      <c s="1163">
        <v>19</v>
      </c>
    </row>
    <row r="30" spans="1:32" s="1369" customFormat="1" ht="24" customHeight="1">
      <c r="A30" s="990"/>
      <c r="C30" s="1639"/>
      <c s="1641"/>
      <c s="1667" t="s">
        <v>89</v>
      </c>
      <c s="1664" t="s">
        <v>792</v>
      </c>
      <c s="1657" t="s">
        <v>552</v>
      </c>
      <c s="560"/>
      <c s="560"/>
      <c s="292"/>
      <c s="546"/>
      <c s="1639"/>
      <c s="1639"/>
      <c r="R30" s="1639"/>
      <c r="U30" s="547"/>
      <c r="AA30" s="1635"/>
      <c s="1635"/>
      <c s="1635"/>
      <c s="1635"/>
      <c s="1635"/>
      <c s="1163">
        <v>23</v>
      </c>
    </row>
    <row r="31" spans="1:32" s="1369" customFormat="1" ht="35.7" customHeight="1">
      <c r="A31" s="990"/>
      <c r="C31" s="1639"/>
      <c s="578"/>
      <c s="1667" t="s">
        <v>90</v>
      </c>
      <c s="1664" t="s">
        <v>793</v>
      </c>
      <c s="1657" t="s">
        <v>552</v>
      </c>
      <c s="560"/>
      <c s="560"/>
      <c s="292" t="s">
        <v>794</v>
      </c>
      <c s="546"/>
      <c s="1639"/>
      <c s="1639"/>
      <c r="R31" s="1639"/>
      <c r="U31" s="547"/>
      <c r="AA31" s="1635"/>
      <c s="1635"/>
      <c s="1635"/>
      <c s="1635"/>
      <c s="1635"/>
      <c s="1163">
        <v>34</v>
      </c>
    </row>
    <row r="32" spans="1:32" s="1369" customFormat="1" ht="24" customHeight="1">
      <c r="A32" s="990"/>
      <c r="C32" s="1639"/>
      <c s="1641"/>
      <c s="1667" t="s">
        <v>754</v>
      </c>
      <c s="693" t="s">
        <v>758</v>
      </c>
      <c s="1657" t="s">
        <v>552</v>
      </c>
      <c s="560"/>
      <c s="560"/>
      <c s="292" t="s">
        <v>795</v>
      </c>
      <c s="546"/>
      <c s="1639"/>
      <c s="1639"/>
      <c r="R32" s="1639"/>
      <c r="U32" s="547"/>
      <c r="AA32" s="1635"/>
      <c s="1635"/>
      <c s="1635"/>
      <c s="1635"/>
      <c s="1635"/>
      <c s="1163">
        <v>23</v>
      </c>
    </row>
    <row r="33" spans="1:32" s="1369" customFormat="1" ht="24" customHeight="1">
      <c r="A33" s="990"/>
      <c r="C33" s="1639"/>
      <c s="1641"/>
      <c s="1667" t="s">
        <v>796</v>
      </c>
      <c s="693" t="s">
        <v>797</v>
      </c>
      <c s="1657" t="s">
        <v>552</v>
      </c>
      <c s="560"/>
      <c s="560"/>
      <c s="292" t="s">
        <v>798</v>
      </c>
      <c s="546"/>
      <c s="1639"/>
      <c s="1639"/>
      <c r="R33" s="1639"/>
      <c r="U33" s="547"/>
      <c r="AA33" s="1635"/>
      <c s="1635"/>
      <c s="1635"/>
      <c s="1635"/>
      <c s="1635"/>
      <c s="1163">
        <v>23</v>
      </c>
    </row>
    <row r="34" spans="1:32" s="1369" customFormat="1" ht="24" customHeight="1">
      <c r="A34" s="990"/>
      <c r="C34" s="1639"/>
      <c s="1641"/>
      <c s="1667" t="s">
        <v>799</v>
      </c>
      <c s="693" t="s">
        <v>764</v>
      </c>
      <c s="1657" t="s">
        <v>552</v>
      </c>
      <c s="560"/>
      <c s="560"/>
      <c s="292" t="s">
        <v>800</v>
      </c>
      <c s="546"/>
      <c s="1639"/>
      <c s="1639"/>
      <c r="R34" s="1639"/>
      <c r="U34" s="547"/>
      <c r="AA34" s="1635"/>
      <c s="1635"/>
      <c s="1635"/>
      <c s="1635"/>
      <c s="1635"/>
      <c s="1163">
        <v>23</v>
      </c>
    </row>
    <row r="35" spans="1:32" s="1369" customFormat="1" ht="35.7" customHeight="1">
      <c r="A35" s="990"/>
      <c r="C35" s="1639" t="s">
        <v>588</v>
      </c>
      <c s="1641"/>
      <c s="1667" t="s">
        <v>111</v>
      </c>
      <c s="1664" t="s">
        <v>629</v>
      </c>
      <c s="1660" t="s">
        <v>306</v>
      </c>
      <c s="404"/>
      <c s="404"/>
      <c s="292" t="s">
        <v>801</v>
      </c>
      <c s="546"/>
      <c s="1639"/>
      <c s="1639"/>
      <c r="R35" s="1639"/>
      <c r="U35" s="547"/>
      <c r="AA35" s="1635"/>
      <c s="1635"/>
      <c s="1635"/>
      <c s="1635"/>
      <c s="1635"/>
      <c s="1163">
        <v>34</v>
      </c>
    </row>
    <row r="36" spans="1:32" s="1369" customFormat="1" ht="35.7" customHeight="1">
      <c r="A36" s="990"/>
      <c r="C36" s="1639"/>
      <c s="1641"/>
      <c s="1667" t="s">
        <v>91</v>
      </c>
      <c s="1664" t="s">
        <v>802</v>
      </c>
      <c s="1657" t="s">
        <v>769</v>
      </c>
      <c s="548"/>
      <c s="548"/>
      <c s="292" t="s">
        <v>770</v>
      </c>
      <c s="546"/>
      <c s="1639"/>
      <c s="1639"/>
      <c r="R36" s="1639"/>
      <c r="U36" s="547"/>
      <c r="AA36" s="1635"/>
      <c s="1635"/>
      <c s="1635"/>
      <c s="1635"/>
      <c s="1635"/>
      <c s="1163">
        <v>34</v>
      </c>
    </row>
    <row r="37" spans="1:32" s="1369" customFormat="1" ht="24" customHeight="1">
      <c r="A37" s="990"/>
      <c r="C37" s="1639"/>
      <c s="1641"/>
      <c s="1667" t="s">
        <v>92</v>
      </c>
      <c s="1664" t="s">
        <v>803</v>
      </c>
      <c s="1657" t="s">
        <v>772</v>
      </c>
      <c s="548"/>
      <c s="548"/>
      <c s="292" t="s">
        <v>773</v>
      </c>
      <c s="546"/>
      <c s="1639"/>
      <c s="1639"/>
      <c r="R37" s="1639"/>
      <c r="U37" s="547"/>
      <c r="AA37" s="1635"/>
      <c s="1635"/>
      <c s="1635"/>
      <c s="1635"/>
      <c s="1635"/>
      <c s="1163">
        <v>23</v>
      </c>
    </row>
    <row r="38" spans="4:32" ht="11.55" customHeight="1">
      <c r="D38" s="1641"/>
      <c r="AF38" s="1634">
        <v>11</v>
      </c>
    </row>
    <row r="39" spans="4:32" ht="27.3" customHeight="1">
      <c r="D39" s="1641"/>
      <c s="1256" t="s">
        <v>804</v>
      </c>
      <c s="2288" t="s">
        <v>805</v>
      </c>
      <c s="2288"/>
      <c s="372"/>
      <c s="372"/>
      <c s="372"/>
      <c r="AF39" s="1634">
        <v>26</v>
      </c>
    </row>
    <row r="40" spans="1:32" s="1644" customFormat="1" ht="39.75" customHeight="1">
      <c r="A40" s="990"/>
      <c s="1639"/>
      <c s="1639"/>
      <c s="354"/>
      <c r="F40" s="2288" t="s">
        <v>806</v>
      </c>
      <c s="2288"/>
      <c s="372"/>
      <c s="372"/>
      <c s="372"/>
      <c s="1163"/>
      <c s="1639"/>
      <c s="1639"/>
      <c s="1163"/>
      <c s="1163"/>
      <c s="1163"/>
      <c s="1163"/>
      <c s="1639"/>
      <c s="1163"/>
      <c s="1163"/>
      <c s="547"/>
      <c s="1163"/>
      <c s="1163"/>
      <c s="1163"/>
      <c s="1163"/>
      <c s="1163"/>
      <c s="1635"/>
      <c s="569"/>
      <c s="569"/>
      <c s="569"/>
      <c s="569"/>
      <c s="1644">
        <v>38</v>
      </c>
    </row>
    <row r="41" spans="1:32" s="1644" customFormat="1" ht="11.55" customHeight="1">
      <c r="A41" s="990"/>
      <c s="1639"/>
      <c s="1639"/>
      <c s="354"/>
      <c r="K41" s="1163"/>
      <c s="1639"/>
      <c s="1639"/>
      <c s="1163"/>
      <c s="1163"/>
      <c s="1163"/>
      <c s="1163"/>
      <c s="1639"/>
      <c s="1163"/>
      <c s="1163"/>
      <c s="547"/>
      <c s="1163"/>
      <c s="1163"/>
      <c s="1163"/>
      <c s="1163"/>
      <c s="1163"/>
      <c s="1635"/>
      <c s="569"/>
      <c s="569"/>
      <c s="569"/>
      <c s="569"/>
      <c s="1644">
        <v>11</v>
      </c>
    </row>
    <row r="42" spans="1:32" s="1644" customFormat="1" ht="11.55" customHeight="1">
      <c r="A42" s="990"/>
      <c s="1639"/>
      <c s="1639"/>
      <c s="354"/>
      <c r="K42" s="1163"/>
      <c s="1639"/>
      <c s="1639"/>
      <c s="1163"/>
      <c s="1163"/>
      <c s="1163"/>
      <c s="1163"/>
      <c s="1639"/>
      <c s="1163"/>
      <c s="1163"/>
      <c s="547"/>
      <c s="1163"/>
      <c s="1163"/>
      <c s="1163"/>
      <c s="1163"/>
      <c s="1163"/>
      <c s="1635"/>
      <c s="569"/>
      <c s="569"/>
      <c s="569"/>
      <c s="569"/>
      <c s="1644">
        <v>11</v>
      </c>
    </row>
    <row r="43" spans="1:32" s="1644" customFormat="1" ht="11.55" customHeight="1">
      <c r="A43" s="990"/>
      <c s="1639"/>
      <c s="1639"/>
      <c s="354"/>
      <c r="H43" s="569"/>
      <c s="569"/>
      <c r="K43" s="1163"/>
      <c s="1639"/>
      <c s="1639"/>
      <c s="1163"/>
      <c s="1163"/>
      <c s="1163"/>
      <c s="1163"/>
      <c s="1639"/>
      <c s="1163"/>
      <c s="1163"/>
      <c s="547"/>
      <c s="1163"/>
      <c s="1163"/>
      <c s="1163"/>
      <c s="1163"/>
      <c s="1163"/>
      <c s="1635"/>
      <c s="569"/>
      <c s="569"/>
      <c s="569"/>
      <c s="569"/>
      <c s="1644">
        <v>11</v>
      </c>
    </row>
    <row r="44" spans="1:32" s="1644" customFormat="1" ht="11.55" customHeight="1">
      <c r="A44" s="990"/>
      <c s="1639"/>
      <c s="1639"/>
      <c s="354"/>
      <c r="K44" s="1163"/>
      <c s="1639"/>
      <c s="1639"/>
      <c s="1163"/>
      <c s="1163"/>
      <c s="1163"/>
      <c s="1163"/>
      <c s="1639"/>
      <c s="1163"/>
      <c s="1163"/>
      <c s="547"/>
      <c s="1163"/>
      <c s="1163"/>
      <c s="1163"/>
      <c s="1163"/>
      <c s="1163"/>
      <c s="1635"/>
      <c s="569"/>
      <c s="569"/>
      <c s="569"/>
      <c s="569"/>
      <c s="1644">
        <v>11</v>
      </c>
    </row>
    <row r="45" spans="1:32" s="1644" customFormat="1" ht="11.55" customHeight="1">
      <c r="A45" s="990"/>
      <c s="1639"/>
      <c s="1639"/>
      <c s="354"/>
      <c r="K45" s="1163"/>
      <c s="1639"/>
      <c s="1639"/>
      <c s="1163"/>
      <c s="1163"/>
      <c s="1163"/>
      <c s="1163"/>
      <c s="1639"/>
      <c s="1163"/>
      <c s="1163"/>
      <c s="547"/>
      <c s="1163"/>
      <c s="1163"/>
      <c s="1163"/>
      <c s="1163"/>
      <c s="1163"/>
      <c s="1635"/>
      <c s="569"/>
      <c s="569"/>
      <c s="569"/>
      <c s="569"/>
      <c s="1644">
        <v>11</v>
      </c>
    </row>
    <row r="46" spans="1:32" s="1644" customFormat="1" ht="11.55" customHeight="1">
      <c r="A46" s="990"/>
      <c s="1639"/>
      <c s="1639"/>
      <c s="354"/>
      <c r="K46" s="1163"/>
      <c s="1639"/>
      <c s="1639"/>
      <c s="1163"/>
      <c s="1163"/>
      <c s="1163"/>
      <c s="1163"/>
      <c s="1639"/>
      <c s="1163"/>
      <c s="1163"/>
      <c s="547"/>
      <c s="1163"/>
      <c s="1163"/>
      <c s="1163"/>
      <c s="1163"/>
      <c s="1163"/>
      <c s="1635"/>
      <c s="569"/>
      <c s="569"/>
      <c s="569"/>
      <c s="569"/>
      <c s="1644">
        <v>11</v>
      </c>
    </row>
    <row r="47" spans="1:32" s="1644" customFormat="1" ht="11.55" customHeight="1">
      <c r="A47" s="990"/>
      <c s="1639"/>
      <c s="1639"/>
      <c s="354"/>
      <c r="K47" s="1163"/>
      <c s="1639"/>
      <c s="1639"/>
      <c s="1163"/>
      <c s="1163"/>
      <c s="1163"/>
      <c s="1163"/>
      <c s="1639"/>
      <c s="1163"/>
      <c s="1163"/>
      <c s="547"/>
      <c s="1163"/>
      <c s="1163"/>
      <c s="1163"/>
      <c s="1163"/>
      <c s="1163"/>
      <c s="1635"/>
      <c s="569"/>
      <c s="569"/>
      <c s="569"/>
      <c s="569"/>
      <c s="1644">
        <v>11</v>
      </c>
    </row>
    <row r="48" spans="1:32" s="1644" customFormat="1" ht="11.55" customHeight="1">
      <c r="A48" s="990"/>
      <c s="1639"/>
      <c s="1639"/>
      <c s="354"/>
      <c r="K48" s="1163"/>
      <c s="1639"/>
      <c s="1639"/>
      <c s="1163"/>
      <c s="1163"/>
      <c s="1163"/>
      <c s="1163"/>
      <c s="1639"/>
      <c s="1163"/>
      <c s="1163"/>
      <c s="547"/>
      <c s="1163"/>
      <c s="1163"/>
      <c s="1163"/>
      <c s="1163"/>
      <c s="1163"/>
      <c s="1635"/>
      <c s="569"/>
      <c s="569"/>
      <c s="569"/>
      <c s="569"/>
      <c s="1644">
        <v>11</v>
      </c>
    </row>
    <row r="49" spans="1:32" s="1644" customFormat="1" ht="11.55" customHeight="1">
      <c r="A49" s="990"/>
      <c s="1639"/>
      <c s="1639"/>
      <c s="354"/>
      <c r="K49" s="1163"/>
      <c s="1639"/>
      <c s="1639"/>
      <c s="1163"/>
      <c s="1163"/>
      <c s="1163"/>
      <c s="1163"/>
      <c s="1639"/>
      <c s="1163"/>
      <c s="1163"/>
      <c s="547"/>
      <c s="1163"/>
      <c s="1163"/>
      <c s="1163"/>
      <c s="1163"/>
      <c s="1163"/>
      <c s="1635"/>
      <c s="569"/>
      <c s="569"/>
      <c s="569"/>
      <c s="569"/>
      <c s="1644">
        <v>11</v>
      </c>
    </row>
    <row r="50" spans="1:32" s="1644" customFormat="1" ht="11.55" customHeight="1">
      <c r="A50" s="990"/>
      <c s="1639"/>
      <c s="1639"/>
      <c s="354"/>
      <c r="K50" s="1163"/>
      <c s="1639"/>
      <c s="1639"/>
      <c s="1163"/>
      <c s="1163"/>
      <c s="1163"/>
      <c s="1163"/>
      <c s="1639"/>
      <c s="1163"/>
      <c s="1163"/>
      <c s="547"/>
      <c s="1163"/>
      <c s="1163"/>
      <c s="1163"/>
      <c s="1163"/>
      <c s="1163"/>
      <c s="1635"/>
      <c s="569"/>
      <c s="569"/>
      <c s="569"/>
      <c s="569"/>
      <c s="1644">
        <v>11</v>
      </c>
    </row>
    <row r="51" spans="1:32" s="1644" customFormat="1" ht="11.55" customHeight="1">
      <c r="A51" s="990"/>
      <c s="1639"/>
      <c s="1639"/>
      <c s="354"/>
      <c r="K51" s="1163"/>
      <c s="1639"/>
      <c s="1639"/>
      <c s="1163"/>
      <c s="1163"/>
      <c s="1163"/>
      <c s="1163"/>
      <c s="1639"/>
      <c s="1163"/>
      <c s="1163"/>
      <c s="547"/>
      <c s="1163"/>
      <c s="1163"/>
      <c s="1163"/>
      <c s="1163"/>
      <c s="1163"/>
      <c s="1635"/>
      <c s="569"/>
      <c s="569"/>
      <c s="569"/>
      <c s="569"/>
      <c s="1644">
        <v>11</v>
      </c>
    </row>
    <row r="52" spans="1:32" s="1644" customFormat="1" ht="11.55" customHeight="1">
      <c r="A52" s="990"/>
      <c s="1639"/>
      <c s="1639"/>
      <c s="354"/>
      <c r="K52" s="1163"/>
      <c s="1639"/>
      <c s="1639"/>
      <c s="1163"/>
      <c s="1163"/>
      <c s="1163"/>
      <c s="1163"/>
      <c s="1639"/>
      <c s="1163"/>
      <c s="1163"/>
      <c s="547"/>
      <c s="1163"/>
      <c s="1163"/>
      <c s="1163"/>
      <c s="1163"/>
      <c s="1163"/>
      <c s="1635"/>
      <c s="569"/>
      <c s="569"/>
      <c s="569"/>
      <c s="569"/>
      <c s="1644">
        <v>11</v>
      </c>
    </row>
    <row r="53" spans="1:32" s="1644" customFormat="1" ht="11.55" customHeight="1">
      <c r="A53" s="990"/>
      <c s="1639"/>
      <c s="1639"/>
      <c s="354"/>
      <c r="K53" s="1163"/>
      <c s="1639"/>
      <c s="1639"/>
      <c s="1163"/>
      <c s="1163"/>
      <c s="1163"/>
      <c s="1163"/>
      <c s="1639"/>
      <c s="1163"/>
      <c s="1163"/>
      <c s="547"/>
      <c s="1163"/>
      <c s="1163"/>
      <c s="1163"/>
      <c s="1163"/>
      <c s="1163"/>
      <c s="1635"/>
      <c s="569"/>
      <c s="569"/>
      <c s="569"/>
      <c s="569"/>
      <c s="1644">
        <v>11</v>
      </c>
    </row>
    <row r="54" spans="1:32" s="1644" customFormat="1" ht="11.55" customHeight="1">
      <c r="A54" s="990"/>
      <c s="1639"/>
      <c s="1639"/>
      <c s="354"/>
      <c r="K54" s="1163"/>
      <c s="1639"/>
      <c s="1639"/>
      <c s="1163"/>
      <c s="1163"/>
      <c s="1163"/>
      <c s="1163"/>
      <c s="1639"/>
      <c s="1163"/>
      <c s="1163"/>
      <c s="547"/>
      <c s="1163"/>
      <c s="1163"/>
      <c s="1163"/>
      <c s="1163"/>
      <c s="1163"/>
      <c s="1635"/>
      <c s="569"/>
      <c s="569"/>
      <c s="569"/>
      <c s="569"/>
      <c s="1644">
        <v>11</v>
      </c>
    </row>
    <row r="55" spans="1:32" s="1644" customFormat="1" ht="11.55" customHeight="1">
      <c r="A55" s="990"/>
      <c s="1639"/>
      <c s="1639"/>
      <c s="354"/>
      <c r="K55" s="1163"/>
      <c s="1639"/>
      <c s="1639"/>
      <c s="1163"/>
      <c s="1163"/>
      <c s="1163"/>
      <c s="1163"/>
      <c s="1639"/>
      <c s="1163"/>
      <c s="1163"/>
      <c s="547"/>
      <c s="1163"/>
      <c s="1163"/>
      <c s="1163"/>
      <c s="1163"/>
      <c s="1163"/>
      <c s="1635"/>
      <c s="569"/>
      <c s="569"/>
      <c s="569"/>
      <c s="569"/>
      <c s="1644">
        <v>11</v>
      </c>
    </row>
    <row r="56" spans="1:32" s="1644" customFormat="1" ht="11.55" customHeight="1">
      <c r="A56" s="990"/>
      <c s="1639"/>
      <c s="1639"/>
      <c s="354"/>
      <c r="K56" s="1163"/>
      <c s="1639"/>
      <c s="1639"/>
      <c s="1163"/>
      <c s="1163"/>
      <c s="1163"/>
      <c s="1163"/>
      <c s="1639"/>
      <c s="1163"/>
      <c s="1163"/>
      <c s="547"/>
      <c s="1163"/>
      <c s="1163"/>
      <c s="1163"/>
      <c s="1163"/>
      <c s="1163"/>
      <c s="1635"/>
      <c s="569"/>
      <c s="569"/>
      <c s="569"/>
      <c s="569"/>
      <c s="1644">
        <v>11</v>
      </c>
    </row>
    <row r="57" spans="1:32" s="1644" customFormat="1" ht="11.55" customHeight="1">
      <c r="A57" s="990"/>
      <c s="1639"/>
      <c s="1639"/>
      <c s="354"/>
      <c r="K57" s="1163"/>
      <c s="1639"/>
      <c s="1639"/>
      <c s="1163"/>
      <c s="1163"/>
      <c s="1163"/>
      <c s="1163"/>
      <c s="1639"/>
      <c s="1163"/>
      <c s="1163"/>
      <c s="547"/>
      <c s="1163"/>
      <c s="1163"/>
      <c s="1163"/>
      <c s="1163"/>
      <c s="1163"/>
      <c s="1635"/>
      <c s="569"/>
      <c s="569"/>
      <c s="569"/>
      <c s="569"/>
      <c s="1644">
        <v>11</v>
      </c>
    </row>
    <row r="58" spans="1:32" s="1644" customFormat="1" ht="11.55" customHeight="1">
      <c r="A58" s="990"/>
      <c s="1639"/>
      <c s="1639"/>
      <c s="354"/>
      <c r="K58" s="1163"/>
      <c s="1639"/>
      <c s="1639"/>
      <c s="1163"/>
      <c s="1163"/>
      <c s="1163"/>
      <c s="1163"/>
      <c s="1639"/>
      <c s="1163"/>
      <c s="1163"/>
      <c s="547"/>
      <c s="1163"/>
      <c s="1163"/>
      <c s="1163"/>
      <c s="1163"/>
      <c s="1163"/>
      <c s="1635"/>
      <c s="569"/>
      <c s="569"/>
      <c s="569"/>
      <c s="569"/>
      <c s="1644">
        <v>11</v>
      </c>
    </row>
    <row r="59" spans="1:32" s="1644" customFormat="1" ht="11.55" customHeight="1">
      <c r="A59" s="990"/>
      <c s="1639"/>
      <c s="1639"/>
      <c s="354"/>
      <c r="K59" s="1163"/>
      <c s="1639"/>
      <c s="1639"/>
      <c s="1163"/>
      <c s="1163"/>
      <c s="1163"/>
      <c s="1163"/>
      <c s="1639"/>
      <c s="1163"/>
      <c s="1163"/>
      <c s="547"/>
      <c s="1163"/>
      <c s="1163"/>
      <c s="1163"/>
      <c s="1163"/>
      <c s="1163"/>
      <c s="1635"/>
      <c s="569"/>
      <c s="569"/>
      <c s="569"/>
      <c s="569"/>
      <c s="1644">
        <v>11</v>
      </c>
    </row>
    <row r="60" spans="1:32" s="1644" customFormat="1" ht="11.55" customHeight="1">
      <c r="A60" s="990"/>
      <c s="1639"/>
      <c s="1639"/>
      <c s="354"/>
      <c r="K60" s="1163"/>
      <c s="1639"/>
      <c s="1639"/>
      <c s="1163"/>
      <c s="1163"/>
      <c s="1163"/>
      <c s="1163"/>
      <c s="1639"/>
      <c s="1163"/>
      <c s="1163"/>
      <c s="547"/>
      <c s="1163"/>
      <c s="1163"/>
      <c s="1163"/>
      <c s="1163"/>
      <c s="1163"/>
      <c s="1635"/>
      <c s="569"/>
      <c s="569"/>
      <c s="569"/>
      <c s="569"/>
      <c s="1644">
        <v>11</v>
      </c>
    </row>
    <row r="61" spans="1:32" s="1644" customFormat="1" ht="11.55" customHeight="1">
      <c r="A61" s="990"/>
      <c s="1639"/>
      <c s="1639"/>
      <c s="354"/>
      <c r="K61" s="1163"/>
      <c s="1639"/>
      <c s="1639"/>
      <c s="1163"/>
      <c s="1163"/>
      <c s="1163"/>
      <c s="1163"/>
      <c s="1639"/>
      <c s="1163"/>
      <c s="1163"/>
      <c s="547"/>
      <c s="1163"/>
      <c s="1163"/>
      <c s="1163"/>
      <c s="1163"/>
      <c s="1163"/>
      <c s="1635"/>
      <c s="569"/>
      <c s="569"/>
      <c s="569"/>
      <c s="569"/>
      <c s="1644">
        <v>11</v>
      </c>
    </row>
    <row r="62" spans="1:32" s="1644" customFormat="1" ht="11.55" customHeight="1">
      <c r="A62" s="990"/>
      <c s="1639"/>
      <c s="1639"/>
      <c s="354"/>
      <c r="K62" s="1163"/>
      <c s="1639"/>
      <c s="1639"/>
      <c s="1163"/>
      <c s="1163"/>
      <c s="1163"/>
      <c s="1163"/>
      <c s="1639"/>
      <c s="1163"/>
      <c s="1163"/>
      <c s="547"/>
      <c s="1163"/>
      <c s="1163"/>
      <c s="1163"/>
      <c s="1163"/>
      <c s="1163"/>
      <c s="1635"/>
      <c s="569"/>
      <c s="569"/>
      <c s="569"/>
      <c s="569"/>
      <c s="1644">
        <v>11</v>
      </c>
    </row>
    <row r="63" spans="1:32" s="1644" customFormat="1" ht="11.55" customHeight="1">
      <c r="A63" s="990"/>
      <c s="1639"/>
      <c s="1639"/>
      <c s="354"/>
      <c r="K63" s="1163"/>
      <c s="1639"/>
      <c s="1639"/>
      <c s="1163"/>
      <c s="1163"/>
      <c s="1163"/>
      <c s="1163"/>
      <c s="1639"/>
      <c s="1163"/>
      <c s="1163"/>
      <c s="547"/>
      <c s="1163"/>
      <c s="1163"/>
      <c s="1163"/>
      <c s="1163"/>
      <c s="1163"/>
      <c s="1635"/>
      <c s="569"/>
      <c s="569"/>
      <c s="569"/>
      <c s="569"/>
      <c s="1644">
        <v>11</v>
      </c>
    </row>
    <row r="64" spans="1:32" s="1644" customFormat="1" ht="11.55" customHeight="1">
      <c r="A64" s="990"/>
      <c s="1639"/>
      <c s="1639"/>
      <c s="354"/>
      <c r="K64" s="1163"/>
      <c s="1639"/>
      <c s="1639"/>
      <c s="1163"/>
      <c s="1163"/>
      <c s="1163"/>
      <c s="1163"/>
      <c s="1639"/>
      <c s="1163"/>
      <c s="1163"/>
      <c s="547"/>
      <c s="1163"/>
      <c s="1163"/>
      <c s="1163"/>
      <c s="1163"/>
      <c s="1163"/>
      <c s="1635"/>
      <c s="569"/>
      <c s="569"/>
      <c s="569"/>
      <c s="569"/>
      <c s="1644">
        <v>11</v>
      </c>
    </row>
    <row r="65" spans="1:32" s="1644" customFormat="1" ht="11.55" customHeight="1">
      <c r="A65" s="990"/>
      <c s="1639"/>
      <c s="1639"/>
      <c s="354"/>
      <c r="K65" s="1163"/>
      <c s="1639"/>
      <c s="1639"/>
      <c s="1163"/>
      <c s="1163"/>
      <c s="1163"/>
      <c s="1163"/>
      <c s="1639"/>
      <c s="1163"/>
      <c s="1163"/>
      <c s="547"/>
      <c s="1163"/>
      <c s="1163"/>
      <c s="1163"/>
      <c s="1163"/>
      <c s="1163"/>
      <c s="1635"/>
      <c s="569"/>
      <c s="569"/>
      <c s="569"/>
      <c s="569"/>
      <c s="1644">
        <v>11</v>
      </c>
    </row>
    <row r="66" spans="1:32" s="1644" customFormat="1" ht="11.55" customHeight="1">
      <c r="A66" s="990"/>
      <c s="1639"/>
      <c s="1639"/>
      <c s="354"/>
      <c r="K66" s="1163"/>
      <c s="1639"/>
      <c s="1639"/>
      <c s="1163"/>
      <c s="1163"/>
      <c s="1163"/>
      <c s="1163"/>
      <c s="1639"/>
      <c s="1163"/>
      <c s="1163"/>
      <c s="547"/>
      <c s="1163"/>
      <c s="1163"/>
      <c s="1163"/>
      <c s="1163"/>
      <c s="1163"/>
      <c s="1635"/>
      <c s="569"/>
      <c s="569"/>
      <c s="569"/>
      <c s="569"/>
      <c s="1644">
        <v>11</v>
      </c>
    </row>
    <row r="67" spans="1:32" s="1644" customFormat="1" ht="11.55" customHeight="1">
      <c r="A67" s="990"/>
      <c s="1639"/>
      <c s="1639"/>
      <c s="354"/>
      <c r="K67" s="1163"/>
      <c s="1639"/>
      <c s="1639"/>
      <c s="1163"/>
      <c s="1163"/>
      <c s="1163"/>
      <c s="1163"/>
      <c s="1639"/>
      <c s="1163"/>
      <c s="1163"/>
      <c s="547"/>
      <c s="1163"/>
      <c s="1163"/>
      <c s="1163"/>
      <c s="1163"/>
      <c s="1163"/>
      <c s="1635"/>
      <c s="569"/>
      <c s="569"/>
      <c s="569"/>
      <c s="569"/>
      <c s="1644">
        <v>11</v>
      </c>
    </row>
    <row r="68" spans="1:32" s="1644" customFormat="1" ht="11.55" customHeight="1">
      <c r="A68" s="990"/>
      <c s="1639"/>
      <c s="1639"/>
      <c s="354"/>
      <c r="K68" s="1163"/>
      <c s="1639"/>
      <c s="1639"/>
      <c s="1163"/>
      <c s="1163"/>
      <c s="1163"/>
      <c s="1163"/>
      <c s="1639"/>
      <c s="1163"/>
      <c s="1163"/>
      <c s="547"/>
      <c s="1163"/>
      <c s="1163"/>
      <c s="1163"/>
      <c s="1163"/>
      <c s="1163"/>
      <c s="1635"/>
      <c s="569"/>
      <c s="569"/>
      <c s="569"/>
      <c s="569"/>
      <c s="1644">
        <v>11</v>
      </c>
    </row>
    <row r="69" spans="1:32" s="1644" customFormat="1" ht="11.55" customHeight="1">
      <c r="A69" s="990"/>
      <c s="1639"/>
      <c s="1639"/>
      <c s="354"/>
      <c r="K69" s="1163"/>
      <c s="1639"/>
      <c s="1639"/>
      <c s="1163"/>
      <c s="1163"/>
      <c s="1163"/>
      <c s="1163"/>
      <c s="1639"/>
      <c s="1163"/>
      <c s="1163"/>
      <c s="547"/>
      <c s="1163"/>
      <c s="1163"/>
      <c s="1163"/>
      <c s="1163"/>
      <c s="1163"/>
      <c s="1635"/>
      <c s="569"/>
      <c s="569"/>
      <c s="569"/>
      <c s="569"/>
      <c s="1644">
        <v>11</v>
      </c>
    </row>
    <row r="70" spans="1:32" s="1644" customFormat="1" ht="11.55" customHeight="1">
      <c r="A70" s="990"/>
      <c s="1639"/>
      <c s="1639"/>
      <c s="354"/>
      <c r="K70" s="1163"/>
      <c s="1639"/>
      <c s="1639"/>
      <c s="1163"/>
      <c s="1163"/>
      <c s="1163"/>
      <c s="1163"/>
      <c s="1639"/>
      <c s="1163"/>
      <c s="1163"/>
      <c s="547"/>
      <c s="1163"/>
      <c s="1163"/>
      <c s="1163"/>
      <c s="1163"/>
      <c s="1163"/>
      <c s="1635"/>
      <c s="569"/>
      <c s="569"/>
      <c s="569"/>
      <c s="569"/>
      <c s="1644">
        <v>11</v>
      </c>
    </row>
    <row r="71" spans="1:32" s="1644" customFormat="1" ht="11.55" customHeight="1">
      <c r="A71" s="990"/>
      <c s="1639"/>
      <c s="1639"/>
      <c s="354"/>
      <c r="K71" s="1163"/>
      <c s="1639"/>
      <c s="1639"/>
      <c s="1163"/>
      <c s="1163"/>
      <c s="1163"/>
      <c s="1163"/>
      <c s="1639"/>
      <c s="1163"/>
      <c s="1163"/>
      <c s="547"/>
      <c s="1163"/>
      <c s="1163"/>
      <c s="1163"/>
      <c s="1163"/>
      <c s="1163"/>
      <c s="1635"/>
      <c s="569"/>
      <c s="569"/>
      <c s="569"/>
      <c s="569"/>
      <c s="1644">
        <v>11</v>
      </c>
    </row>
    <row r="72" spans="1:32" s="1644" customFormat="1" ht="11.55" customHeight="1">
      <c r="A72" s="990"/>
      <c s="1639"/>
      <c s="1639"/>
      <c s="354"/>
      <c r="K72" s="1163"/>
      <c s="1639"/>
      <c s="1639"/>
      <c s="1163"/>
      <c s="1163"/>
      <c s="1163"/>
      <c s="1163"/>
      <c s="1639"/>
      <c s="1163"/>
      <c s="1163"/>
      <c s="547"/>
      <c s="1163"/>
      <c s="1163"/>
      <c s="1163"/>
      <c s="1163"/>
      <c s="1163"/>
      <c s="1635"/>
      <c s="569"/>
      <c s="569"/>
      <c s="569"/>
      <c s="569"/>
      <c s="1644">
        <v>11</v>
      </c>
    </row>
    <row r="73" spans="1:32" s="1644" customFormat="1" ht="11.55" customHeight="1">
      <c r="A73" s="990"/>
      <c s="1639"/>
      <c s="1639"/>
      <c s="354"/>
      <c r="K73" s="1163"/>
      <c s="1639"/>
      <c s="1639"/>
      <c s="1163"/>
      <c s="1163"/>
      <c s="1163"/>
      <c s="1163"/>
      <c s="1639"/>
      <c s="1163"/>
      <c s="1163"/>
      <c s="547"/>
      <c s="1163"/>
      <c s="1163"/>
      <c s="1163"/>
      <c s="1163"/>
      <c s="1163"/>
      <c s="1635"/>
      <c s="569"/>
      <c s="569"/>
      <c s="569"/>
      <c s="569"/>
      <c s="1644">
        <v>11</v>
      </c>
    </row>
    <row r="74" spans="1:32" s="1644" customFormat="1" ht="11.55" customHeight="1">
      <c r="A74" s="990"/>
      <c s="1639"/>
      <c s="1639"/>
      <c s="354"/>
      <c r="K74" s="1163"/>
      <c s="1639"/>
      <c s="1639"/>
      <c s="1163"/>
      <c s="1163"/>
      <c s="1163"/>
      <c s="1163"/>
      <c s="1639"/>
      <c s="1163"/>
      <c s="1163"/>
      <c s="547"/>
      <c s="1163"/>
      <c s="1163"/>
      <c s="1163"/>
      <c s="1163"/>
      <c s="1163"/>
      <c s="1635"/>
      <c s="569"/>
      <c s="569"/>
      <c s="569"/>
      <c s="569"/>
      <c s="1644">
        <v>11</v>
      </c>
    </row>
    <row r="75" spans="1:32" s="1644" customFormat="1" ht="11.55" customHeight="1">
      <c r="A75" s="990"/>
      <c s="1639"/>
      <c s="1639"/>
      <c s="354"/>
      <c r="K75" s="1163"/>
      <c s="1639"/>
      <c s="1639"/>
      <c s="1163"/>
      <c s="1163"/>
      <c s="1163"/>
      <c s="1163"/>
      <c s="1639"/>
      <c s="1163"/>
      <c s="1163"/>
      <c s="547"/>
      <c s="1163"/>
      <c s="1163"/>
      <c s="1163"/>
      <c s="1163"/>
      <c s="1163"/>
      <c s="1635"/>
      <c s="569"/>
      <c s="569"/>
      <c s="569"/>
      <c s="569"/>
      <c s="1644">
        <v>11</v>
      </c>
    </row>
    <row r="76" spans="1:32" s="1644" customFormat="1" ht="11.55" customHeight="1">
      <c r="A76" s="990"/>
      <c s="1639"/>
      <c s="1639"/>
      <c s="354"/>
      <c r="K76" s="1163"/>
      <c s="1639"/>
      <c s="1639"/>
      <c s="1163"/>
      <c s="1163"/>
      <c s="1163"/>
      <c s="1163"/>
      <c s="1639"/>
      <c s="1163"/>
      <c s="1163"/>
      <c s="547"/>
      <c s="1163"/>
      <c s="1163"/>
      <c s="1163"/>
      <c s="1163"/>
      <c s="1163"/>
      <c s="1635"/>
      <c s="569"/>
      <c s="569"/>
      <c s="569"/>
      <c s="569"/>
      <c s="1644">
        <v>11</v>
      </c>
    </row>
    <row r="77" spans="1:32" s="1644" customFormat="1" ht="11.55" customHeight="1">
      <c r="A77" s="990"/>
      <c s="1639"/>
      <c s="1639"/>
      <c s="354"/>
      <c r="K77" s="1163"/>
      <c s="1639"/>
      <c s="1639"/>
      <c s="1163"/>
      <c s="1163"/>
      <c s="1163"/>
      <c s="1163"/>
      <c s="1639"/>
      <c s="1163"/>
      <c s="1163"/>
      <c s="547"/>
      <c s="1163"/>
      <c s="1163"/>
      <c s="1163"/>
      <c s="1163"/>
      <c s="1163"/>
      <c s="1635"/>
      <c s="569"/>
      <c s="569"/>
      <c s="569"/>
      <c s="569"/>
      <c s="1644">
        <v>11</v>
      </c>
    </row>
    <row r="78" spans="1:32" s="1644" customFormat="1" ht="11.55" customHeight="1">
      <c r="A78" s="990"/>
      <c s="1639"/>
      <c s="1639"/>
      <c s="354"/>
      <c r="K78" s="1163"/>
      <c s="1639"/>
      <c s="1639"/>
      <c s="1163"/>
      <c s="1163"/>
      <c s="1163"/>
      <c s="1163"/>
      <c s="1639"/>
      <c s="1163"/>
      <c s="1163"/>
      <c s="547"/>
      <c s="1163"/>
      <c s="1163"/>
      <c s="1163"/>
      <c s="1163"/>
      <c s="1163"/>
      <c s="1635"/>
      <c s="569"/>
      <c s="569"/>
      <c s="569"/>
      <c s="569"/>
      <c s="1644">
        <v>11</v>
      </c>
    </row>
    <row r="79" spans="1:32" s="1644" customFormat="1" ht="11.55" customHeight="1">
      <c r="A79" s="990"/>
      <c s="1639"/>
      <c s="1639"/>
      <c s="354"/>
      <c r="K79" s="1163"/>
      <c s="1639"/>
      <c s="1639"/>
      <c s="1163"/>
      <c s="1163"/>
      <c s="1163"/>
      <c s="1163"/>
      <c s="1639"/>
      <c s="1163"/>
      <c s="1163"/>
      <c s="547"/>
      <c s="1163"/>
      <c s="1163"/>
      <c s="1163"/>
      <c s="1163"/>
      <c s="1163"/>
      <c s="1635"/>
      <c s="569"/>
      <c s="569"/>
      <c s="569"/>
      <c s="569"/>
      <c s="1644">
        <v>11</v>
      </c>
    </row>
    <row r="80" spans="1:32" s="1644" customFormat="1" ht="11.55" customHeight="1">
      <c r="A80" s="990"/>
      <c s="1639"/>
      <c s="1639"/>
      <c s="354"/>
      <c r="K80" s="1163"/>
      <c s="1639"/>
      <c s="1639"/>
      <c s="1163"/>
      <c s="1163"/>
      <c s="1163"/>
      <c s="1163"/>
      <c s="1639"/>
      <c s="1163"/>
      <c s="1163"/>
      <c s="547"/>
      <c s="1163"/>
      <c s="1163"/>
      <c s="1163"/>
      <c s="1163"/>
      <c s="1163"/>
      <c s="1635"/>
      <c s="569"/>
      <c s="569"/>
      <c s="569"/>
      <c s="569"/>
      <c s="1644">
        <v>11</v>
      </c>
    </row>
    <row r="81" spans="1:32" s="1644" customFormat="1" ht="11.55" customHeight="1">
      <c r="A81" s="990"/>
      <c s="1639"/>
      <c s="1639"/>
      <c s="354"/>
      <c r="K81" s="1163"/>
      <c s="1639"/>
      <c s="1639"/>
      <c s="1163"/>
      <c s="1163"/>
      <c s="1163"/>
      <c s="1163"/>
      <c s="1639"/>
      <c s="1163"/>
      <c s="1163"/>
      <c s="547"/>
      <c s="1163"/>
      <c s="1163"/>
      <c s="1163"/>
      <c s="1163"/>
      <c s="1163"/>
      <c s="1635"/>
      <c s="569"/>
      <c s="569"/>
      <c s="569"/>
      <c s="569"/>
      <c s="1644">
        <v>11</v>
      </c>
    </row>
    <row r="82" spans="1:32" s="1644" customFormat="1" ht="11.55" customHeight="1">
      <c r="A82" s="990"/>
      <c s="1639"/>
      <c s="1639"/>
      <c s="354"/>
      <c r="K82" s="1163"/>
      <c s="1639"/>
      <c s="1639"/>
      <c s="1163"/>
      <c s="1163"/>
      <c s="1163"/>
      <c s="1163"/>
      <c s="1639"/>
      <c s="1163"/>
      <c s="1163"/>
      <c s="547"/>
      <c s="1163"/>
      <c s="1163"/>
      <c s="1163"/>
      <c s="1163"/>
      <c s="1163"/>
      <c s="1635"/>
      <c s="569"/>
      <c s="569"/>
      <c s="569"/>
      <c s="569"/>
      <c s="1644">
        <v>11</v>
      </c>
    </row>
    <row r="83" spans="1:32" s="1644" customFormat="1" ht="11.55" customHeight="1">
      <c r="A83" s="990"/>
      <c s="1639"/>
      <c s="1639"/>
      <c s="354"/>
      <c r="K83" s="1163"/>
      <c s="1639"/>
      <c s="1639"/>
      <c s="1163"/>
      <c s="1163"/>
      <c s="1163"/>
      <c s="1163"/>
      <c s="1639"/>
      <c s="1163"/>
      <c s="1163"/>
      <c s="547"/>
      <c s="1163"/>
      <c s="1163"/>
      <c s="1163"/>
      <c s="1163"/>
      <c s="1163"/>
      <c s="1635"/>
      <c s="569"/>
      <c s="569"/>
      <c s="569"/>
      <c s="569"/>
      <c s="1644">
        <v>11</v>
      </c>
    </row>
    <row r="84" spans="1:32" s="1644" customFormat="1" ht="11.55" customHeight="1">
      <c r="A84" s="990"/>
      <c s="1639"/>
      <c s="1639"/>
      <c s="354"/>
      <c r="K84" s="1163"/>
      <c s="1639"/>
      <c s="1639"/>
      <c s="1163"/>
      <c s="1163"/>
      <c s="1163"/>
      <c s="1163"/>
      <c s="1639"/>
      <c s="1163"/>
      <c s="1163"/>
      <c s="547"/>
      <c s="1163"/>
      <c s="1163"/>
      <c s="1163"/>
      <c s="1163"/>
      <c s="1163"/>
      <c s="1635"/>
      <c s="569"/>
      <c s="569"/>
      <c s="569"/>
      <c s="569"/>
      <c s="1644">
        <v>11</v>
      </c>
    </row>
    <row r="85" spans="1:32" s="1644" customFormat="1" ht="11.55" customHeight="1">
      <c r="A85" s="990"/>
      <c s="1639"/>
      <c s="1639"/>
      <c s="354"/>
      <c r="K85" s="1163"/>
      <c s="1639"/>
      <c s="1639"/>
      <c s="1163"/>
      <c s="1163"/>
      <c s="1163"/>
      <c s="1163"/>
      <c s="1639"/>
      <c s="1163"/>
      <c s="1163"/>
      <c s="547"/>
      <c s="1163"/>
      <c s="1163"/>
      <c s="1163"/>
      <c s="1163"/>
      <c s="1163"/>
      <c s="1635"/>
      <c s="569"/>
      <c s="569"/>
      <c s="569"/>
      <c s="569"/>
      <c s="1644">
        <v>11</v>
      </c>
    </row>
    <row r="86" spans="1:32" s="1644" customFormat="1" ht="11.55" customHeight="1">
      <c r="A86" s="990"/>
      <c s="1639"/>
      <c s="1639"/>
      <c s="354"/>
      <c r="K86" s="1163"/>
      <c s="1639"/>
      <c s="1639"/>
      <c s="1163"/>
      <c s="1163"/>
      <c s="1163"/>
      <c s="1163"/>
      <c s="1639"/>
      <c s="1163"/>
      <c s="1163"/>
      <c s="547"/>
      <c s="1163"/>
      <c s="1163"/>
      <c s="1163"/>
      <c s="1163"/>
      <c s="1163"/>
      <c s="1635"/>
      <c s="569"/>
      <c s="569"/>
      <c s="569"/>
      <c s="569"/>
      <c s="1644">
        <v>11</v>
      </c>
    </row>
    <row r="87" spans="1:32" s="1644" customFormat="1" ht="11.55" customHeight="1">
      <c r="A87" s="990"/>
      <c s="1639"/>
      <c s="1639"/>
      <c s="354"/>
      <c r="K87" s="1163"/>
      <c s="1639"/>
      <c s="1639"/>
      <c s="1163"/>
      <c s="1163"/>
      <c s="1163"/>
      <c s="1163"/>
      <c s="1639"/>
      <c s="1163"/>
      <c s="1163"/>
      <c s="547"/>
      <c s="1163"/>
      <c s="1163"/>
      <c s="1163"/>
      <c s="1163"/>
      <c s="1163"/>
      <c s="1635"/>
      <c s="569"/>
      <c s="569"/>
      <c s="569"/>
      <c s="569"/>
      <c s="1644">
        <v>11</v>
      </c>
    </row>
    <row r="88" spans="1:32" s="1644" customFormat="1" ht="11.55" customHeight="1">
      <c r="A88" s="990"/>
      <c s="1639"/>
      <c s="1639"/>
      <c s="354"/>
      <c r="K88" s="1163"/>
      <c s="1639"/>
      <c s="1639"/>
      <c s="1163"/>
      <c s="1163"/>
      <c s="1163"/>
      <c s="1163"/>
      <c s="1639"/>
      <c s="1163"/>
      <c s="1163"/>
      <c s="547"/>
      <c s="1163"/>
      <c s="1163"/>
      <c s="1163"/>
      <c s="1163"/>
      <c s="1163"/>
      <c s="1635"/>
      <c s="569"/>
      <c s="569"/>
      <c s="569"/>
      <c s="569"/>
      <c s="1644">
        <v>11</v>
      </c>
    </row>
    <row r="89" spans="1:32" s="1644" customFormat="1" ht="11.55" customHeight="1">
      <c r="A89" s="990"/>
      <c s="1639"/>
      <c s="1639"/>
      <c s="354"/>
      <c r="K89" s="1163"/>
      <c s="1639"/>
      <c s="1639"/>
      <c s="1163"/>
      <c s="1163"/>
      <c s="1163"/>
      <c s="1163"/>
      <c s="1639"/>
      <c s="1163"/>
      <c s="1163"/>
      <c s="547"/>
      <c s="1163"/>
      <c s="1163"/>
      <c s="1163"/>
      <c s="1163"/>
      <c s="1163"/>
      <c s="1635"/>
      <c s="569"/>
      <c s="569"/>
      <c s="569"/>
      <c s="569"/>
      <c s="1644">
        <v>11</v>
      </c>
    </row>
    <row r="90" spans="1:32" s="1644" customFormat="1" ht="11.55" customHeight="1">
      <c r="A90" s="990"/>
      <c s="1639"/>
      <c s="1639"/>
      <c s="354"/>
      <c r="K90" s="1163"/>
      <c s="1639"/>
      <c s="1639"/>
      <c s="1163"/>
      <c s="1163"/>
      <c s="1163"/>
      <c s="1163"/>
      <c s="1639"/>
      <c s="1163"/>
      <c s="1163"/>
      <c s="547"/>
      <c s="1163"/>
      <c s="1163"/>
      <c s="1163"/>
      <c s="1163"/>
      <c s="1163"/>
      <c s="1635"/>
      <c s="569"/>
      <c s="569"/>
      <c s="569"/>
      <c s="569"/>
      <c s="1644">
        <v>11</v>
      </c>
    </row>
    <row r="91" spans="1:32" s="1644" customFormat="1" ht="11.55" customHeight="1">
      <c r="A91" s="990"/>
      <c s="1639"/>
      <c s="1639"/>
      <c s="354"/>
      <c r="K91" s="1163"/>
      <c s="1639"/>
      <c s="1639"/>
      <c s="1163"/>
      <c s="1163"/>
      <c s="1163"/>
      <c s="1163"/>
      <c s="1639"/>
      <c s="1163"/>
      <c s="1163"/>
      <c s="547"/>
      <c s="1163"/>
      <c s="1163"/>
      <c s="1163"/>
      <c s="1163"/>
      <c s="1163"/>
      <c s="1635"/>
      <c s="569"/>
      <c s="569"/>
      <c s="569"/>
      <c s="569"/>
      <c s="1644">
        <v>11</v>
      </c>
    </row>
    <row r="92" spans="1:32" s="1644" customFormat="1" ht="11.55" customHeight="1">
      <c r="A92" s="990"/>
      <c s="1639"/>
      <c s="1639"/>
      <c s="354"/>
      <c r="K92" s="1163"/>
      <c s="1639"/>
      <c s="1639"/>
      <c s="1163"/>
      <c s="1163"/>
      <c s="1163"/>
      <c s="1163"/>
      <c s="1639"/>
      <c s="1163"/>
      <c s="1163"/>
      <c s="547"/>
      <c s="1163"/>
      <c s="1163"/>
      <c s="1163"/>
      <c s="1163"/>
      <c s="1163"/>
      <c s="1635"/>
      <c s="569"/>
      <c s="569"/>
      <c s="569"/>
      <c s="569"/>
      <c s="1644">
        <v>11</v>
      </c>
    </row>
    <row r="93" spans="1:32" s="1644" customFormat="1" ht="11.55" customHeight="1">
      <c r="A93" s="990"/>
      <c s="1639"/>
      <c s="1639"/>
      <c s="354"/>
      <c r="K93" s="1163"/>
      <c s="1639"/>
      <c s="1639"/>
      <c s="1163"/>
      <c s="1163"/>
      <c s="1163"/>
      <c s="1163"/>
      <c s="1639"/>
      <c s="1163"/>
      <c s="1163"/>
      <c s="547"/>
      <c s="1163"/>
      <c s="1163"/>
      <c s="1163"/>
      <c s="1163"/>
      <c s="1163"/>
      <c s="1635"/>
      <c s="569"/>
      <c s="569"/>
      <c s="569"/>
      <c s="569"/>
      <c s="1644">
        <v>11</v>
      </c>
    </row>
    <row r="94" spans="1:32" s="1644" customFormat="1" ht="11.55" customHeight="1">
      <c r="A94" s="990"/>
      <c s="1639"/>
      <c s="1639"/>
      <c s="354"/>
      <c r="K94" s="1163"/>
      <c s="1639"/>
      <c s="1639"/>
      <c s="1163"/>
      <c s="1163"/>
      <c s="1163"/>
      <c s="1163"/>
      <c s="1639"/>
      <c s="1163"/>
      <c s="1163"/>
      <c s="547"/>
      <c s="1163"/>
      <c s="1163"/>
      <c s="1163"/>
      <c s="1163"/>
      <c s="1163"/>
      <c s="1635"/>
      <c s="569"/>
      <c s="569"/>
      <c s="569"/>
      <c s="569"/>
      <c s="1644">
        <v>11</v>
      </c>
    </row>
    <row r="95" spans="1:32" s="1644" customFormat="1" ht="11.55" customHeight="1">
      <c r="A95" s="990"/>
      <c s="1639"/>
      <c s="1639"/>
      <c s="354"/>
      <c r="K95" s="1163"/>
      <c s="1639"/>
      <c s="1639"/>
      <c s="1163"/>
      <c s="1163"/>
      <c s="1163"/>
      <c s="1163"/>
      <c s="1639"/>
      <c s="1163"/>
      <c s="1163"/>
      <c s="547"/>
      <c s="1163"/>
      <c s="1163"/>
      <c s="1163"/>
      <c s="1163"/>
      <c s="1163"/>
      <c s="1635"/>
      <c s="569"/>
      <c s="569"/>
      <c s="569"/>
      <c s="569"/>
      <c s="1644">
        <v>11</v>
      </c>
    </row>
    <row r="96" spans="1:32" s="1644" customFormat="1" ht="11.55" customHeight="1">
      <c r="A96" s="990"/>
      <c s="1639"/>
      <c s="1639"/>
      <c s="354"/>
      <c r="K96" s="1163"/>
      <c s="1639"/>
      <c s="1639"/>
      <c s="1163"/>
      <c s="1163"/>
      <c s="1163"/>
      <c s="1163"/>
      <c s="1639"/>
      <c s="1163"/>
      <c s="1163"/>
      <c s="547"/>
      <c s="1163"/>
      <c s="1163"/>
      <c s="1163"/>
      <c s="1163"/>
      <c s="1163"/>
      <c s="1635"/>
      <c s="569"/>
      <c s="569"/>
      <c s="569"/>
      <c s="569"/>
      <c s="1644">
        <v>11</v>
      </c>
    </row>
    <row r="97" spans="1:32" s="1644" customFormat="1" ht="11.55" customHeight="1">
      <c r="A97" s="990"/>
      <c s="1639"/>
      <c s="1639"/>
      <c s="354"/>
      <c r="K97" s="1163"/>
      <c s="1639"/>
      <c s="1639"/>
      <c s="1163"/>
      <c s="1163"/>
      <c s="1163"/>
      <c s="1163"/>
      <c s="1639"/>
      <c s="1163"/>
      <c s="1163"/>
      <c s="547"/>
      <c s="1163"/>
      <c s="1163"/>
      <c s="1163"/>
      <c s="1163"/>
      <c s="1163"/>
      <c s="1635"/>
      <c s="569"/>
      <c s="569"/>
      <c s="569"/>
      <c s="569"/>
      <c s="1644">
        <v>11</v>
      </c>
    </row>
    <row r="98" spans="1:32" s="1644" customFormat="1" ht="11.55" customHeight="1">
      <c r="A98" s="990"/>
      <c s="1639"/>
      <c s="1639"/>
      <c s="354"/>
      <c r="K98" s="1163"/>
      <c s="1639"/>
      <c s="1639"/>
      <c s="1163"/>
      <c s="1163"/>
      <c s="1163"/>
      <c s="1163"/>
      <c s="1639"/>
      <c s="1163"/>
      <c s="1163"/>
      <c s="547"/>
      <c s="1163"/>
      <c s="1163"/>
      <c s="1163"/>
      <c s="1163"/>
      <c s="1163"/>
      <c s="1635"/>
      <c s="569"/>
      <c s="569"/>
      <c s="569"/>
      <c s="569"/>
      <c s="1644">
        <v>11</v>
      </c>
    </row>
    <row r="99" spans="1:32" s="1644" customFormat="1" ht="11.55" customHeight="1">
      <c r="A99" s="990"/>
      <c s="1639"/>
      <c s="1639"/>
      <c s="354"/>
      <c r="K99" s="1163"/>
      <c s="1639"/>
      <c s="1639"/>
      <c s="1163"/>
      <c s="1163"/>
      <c s="1163"/>
      <c s="1163"/>
      <c s="1639"/>
      <c s="1163"/>
      <c s="1163"/>
      <c s="547"/>
      <c s="1163"/>
      <c s="1163"/>
      <c s="1163"/>
      <c s="1163"/>
      <c s="1163"/>
      <c s="1635"/>
      <c s="569"/>
      <c s="569"/>
      <c s="569"/>
      <c s="569"/>
      <c s="1644">
        <v>11</v>
      </c>
    </row>
    <row r="100" spans="1:32" s="1644" customFormat="1" ht="11.55" customHeight="1">
      <c r="A100" s="990"/>
      <c s="1639"/>
      <c s="1639"/>
      <c s="354"/>
      <c r="K100" s="1163"/>
      <c s="1639"/>
      <c s="1639"/>
      <c s="1163"/>
      <c s="1163"/>
      <c s="1163"/>
      <c s="1163"/>
      <c s="1639"/>
      <c s="1163"/>
      <c s="1163"/>
      <c s="547"/>
      <c s="1163"/>
      <c s="1163"/>
      <c s="1163"/>
      <c s="1163"/>
      <c s="1163"/>
      <c s="1635"/>
      <c s="569"/>
      <c s="569"/>
      <c s="569"/>
      <c s="569"/>
      <c s="1644">
        <v>11</v>
      </c>
    </row>
    <row r="101" spans="1:32" s="1644" customFormat="1" ht="11.55" customHeight="1">
      <c r="A101" s="990"/>
      <c s="1639"/>
      <c s="1639"/>
      <c s="354"/>
      <c r="K101" s="1163"/>
      <c s="1639"/>
      <c s="1639"/>
      <c s="1163"/>
      <c s="1163"/>
      <c s="1163"/>
      <c s="1163"/>
      <c s="1639"/>
      <c s="1163"/>
      <c s="1163"/>
      <c s="547"/>
      <c s="1163"/>
      <c s="1163"/>
      <c s="1163"/>
      <c s="1163"/>
      <c s="1163"/>
      <c s="1635"/>
      <c s="569"/>
      <c s="569"/>
      <c s="569"/>
      <c s="569"/>
      <c s="1644">
        <v>11</v>
      </c>
    </row>
    <row r="102" spans="1:32" s="1644" customFormat="1" ht="11.55" customHeight="1">
      <c r="A102" s="990"/>
      <c s="1639"/>
      <c s="1639"/>
      <c s="354"/>
      <c r="K102" s="1163"/>
      <c s="1639"/>
      <c s="1639"/>
      <c s="1163"/>
      <c s="1163"/>
      <c s="1163"/>
      <c s="1163"/>
      <c s="1639"/>
      <c s="1163"/>
      <c s="1163"/>
      <c s="547"/>
      <c s="1163"/>
      <c s="1163"/>
      <c s="1163"/>
      <c s="1163"/>
      <c s="1163"/>
      <c s="1635"/>
      <c s="569"/>
      <c s="569"/>
      <c s="569"/>
      <c s="569"/>
      <c s="1644">
        <v>11</v>
      </c>
    </row>
    <row r="103" spans="1:32" s="1644" customFormat="1" ht="11.55" customHeight="1">
      <c r="A103" s="990"/>
      <c s="1639"/>
      <c s="1639"/>
      <c s="354"/>
      <c r="K103" s="1163"/>
      <c s="1639"/>
      <c s="1639"/>
      <c s="1163"/>
      <c s="1163"/>
      <c s="1163"/>
      <c s="1163"/>
      <c s="1639"/>
      <c s="1163"/>
      <c s="1163"/>
      <c s="547"/>
      <c s="1163"/>
      <c s="1163"/>
      <c s="1163"/>
      <c s="1163"/>
      <c s="1163"/>
      <c s="1635"/>
      <c s="569"/>
      <c s="569"/>
      <c s="569"/>
      <c s="569"/>
      <c s="1644">
        <v>11</v>
      </c>
    </row>
    <row r="104" spans="1:32" s="1644" customFormat="1" ht="11.55" customHeight="1">
      <c r="A104" s="990"/>
      <c s="1639"/>
      <c s="1639"/>
      <c s="354"/>
      <c r="K104" s="1163"/>
      <c s="1639"/>
      <c s="1639"/>
      <c s="1163"/>
      <c s="1163"/>
      <c s="1163"/>
      <c s="1163"/>
      <c s="1639"/>
      <c s="1163"/>
      <c s="1163"/>
      <c s="547"/>
      <c s="1163"/>
      <c s="1163"/>
      <c s="1163"/>
      <c s="1163"/>
      <c s="1163"/>
      <c s="1635"/>
      <c s="569"/>
      <c s="569"/>
      <c s="569"/>
      <c s="569"/>
      <c s="1644">
        <v>11</v>
      </c>
    </row>
    <row r="105" spans="1:32" s="1644" customFormat="1" ht="11.55" customHeight="1">
      <c r="A105" s="990"/>
      <c s="1639"/>
      <c s="1639"/>
      <c s="354"/>
      <c r="K105" s="1163"/>
      <c s="1639"/>
      <c s="1639"/>
      <c s="1163"/>
      <c s="1163"/>
      <c s="1163"/>
      <c s="1163"/>
      <c s="1639"/>
      <c s="1163"/>
      <c s="1163"/>
      <c s="547"/>
      <c s="1163"/>
      <c s="1163"/>
      <c s="1163"/>
      <c s="1163"/>
      <c s="1163"/>
      <c s="1635"/>
      <c s="569"/>
      <c s="569"/>
      <c s="569"/>
      <c s="569"/>
      <c s="1644">
        <v>11</v>
      </c>
    </row>
    <row r="106" spans="1:32" s="1644" customFormat="1" ht="11.55" customHeight="1">
      <c r="A106" s="990"/>
      <c s="1639"/>
      <c s="1639"/>
      <c s="354"/>
      <c r="K106" s="1163"/>
      <c s="1639"/>
      <c s="1639"/>
      <c s="1163"/>
      <c s="1163"/>
      <c s="1163"/>
      <c s="1163"/>
      <c s="1639"/>
      <c s="1163"/>
      <c s="1163"/>
      <c s="547"/>
      <c s="1163"/>
      <c s="1163"/>
      <c s="1163"/>
      <c s="1163"/>
      <c s="1163"/>
      <c s="1635"/>
      <c s="569"/>
      <c s="569"/>
      <c s="569"/>
      <c s="569"/>
      <c s="1644">
        <v>11</v>
      </c>
    </row>
    <row r="107" spans="1:32" s="1644" customFormat="1" ht="11.55" customHeight="1">
      <c r="A107" s="990"/>
      <c s="1639"/>
      <c s="1639"/>
      <c s="354"/>
      <c r="K107" s="1163"/>
      <c s="1639"/>
      <c s="1639"/>
      <c s="1163"/>
      <c s="1163"/>
      <c s="1163"/>
      <c s="1163"/>
      <c s="1639"/>
      <c s="1163"/>
      <c s="1163"/>
      <c s="547"/>
      <c s="1163"/>
      <c s="1163"/>
      <c s="1163"/>
      <c s="1163"/>
      <c s="1163"/>
      <c s="1635"/>
      <c s="569"/>
      <c s="569"/>
      <c s="569"/>
      <c s="569"/>
      <c s="1644">
        <v>11</v>
      </c>
    </row>
    <row r="108" spans="1:32" s="1644" customFormat="1" ht="11.55" customHeight="1">
      <c r="A108" s="990"/>
      <c s="1639"/>
      <c s="1639"/>
      <c s="354"/>
      <c r="K108" s="1163"/>
      <c s="1639"/>
      <c s="1639"/>
      <c s="1163"/>
      <c s="1163"/>
      <c s="1163"/>
      <c s="1163"/>
      <c s="1639"/>
      <c s="1163"/>
      <c s="1163"/>
      <c s="547"/>
      <c s="1163"/>
      <c s="1163"/>
      <c s="1163"/>
      <c s="1163"/>
      <c s="1163"/>
      <c s="1635"/>
      <c s="569"/>
      <c s="569"/>
      <c s="569"/>
      <c s="569"/>
      <c s="1644">
        <v>11</v>
      </c>
    </row>
    <row r="109" spans="1:32" s="1644" customFormat="1" ht="11.55" customHeight="1">
      <c r="A109" s="990"/>
      <c s="1639"/>
      <c s="1639"/>
      <c s="354"/>
      <c r="K109" s="1163"/>
      <c s="1639"/>
      <c s="1639"/>
      <c s="1163"/>
      <c s="1163"/>
      <c s="1163"/>
      <c s="1163"/>
      <c s="1639"/>
      <c s="1163"/>
      <c s="1163"/>
      <c s="547"/>
      <c s="1163"/>
      <c s="1163"/>
      <c s="1163"/>
      <c s="1163"/>
      <c s="1163"/>
      <c s="1635"/>
      <c s="569"/>
      <c s="569"/>
      <c s="569"/>
      <c s="569"/>
      <c s="1644">
        <v>11</v>
      </c>
    </row>
    <row r="110" spans="1:32" s="1644" customFormat="1" ht="11.55" customHeight="1">
      <c r="A110" s="990"/>
      <c s="1639"/>
      <c s="1639"/>
      <c s="354"/>
      <c r="K110" s="1163"/>
      <c s="1639"/>
      <c s="1639"/>
      <c s="1163"/>
      <c s="1163"/>
      <c s="1163"/>
      <c s="1163"/>
      <c s="1639"/>
      <c s="1163"/>
      <c s="1163"/>
      <c s="547"/>
      <c s="1163"/>
      <c s="1163"/>
      <c s="1163"/>
      <c s="1163"/>
      <c s="1163"/>
      <c s="1635"/>
      <c s="569"/>
      <c s="569"/>
      <c s="569"/>
      <c s="569"/>
      <c s="1644">
        <v>11</v>
      </c>
    </row>
    <row r="111" spans="1:32" s="1644" customFormat="1" ht="11.55" customHeight="1">
      <c r="A111" s="990"/>
      <c s="1639"/>
      <c s="1639"/>
      <c s="354"/>
      <c r="K111" s="1163"/>
      <c s="1639"/>
      <c s="1639"/>
      <c s="1163"/>
      <c s="1163"/>
      <c s="1163"/>
      <c s="1163"/>
      <c s="1639"/>
      <c s="1163"/>
      <c s="1163"/>
      <c s="547"/>
      <c s="1163"/>
      <c s="1163"/>
      <c s="1163"/>
      <c s="1163"/>
      <c s="1163"/>
      <c s="1635"/>
      <c s="569"/>
      <c s="569"/>
      <c s="569"/>
      <c s="569"/>
      <c s="1644">
        <v>11</v>
      </c>
    </row>
    <row r="112" spans="1:32" s="1644" customFormat="1" ht="11.55" customHeight="1">
      <c r="A112" s="990"/>
      <c s="1639"/>
      <c s="1639"/>
      <c s="354"/>
      <c r="K112" s="1163"/>
      <c s="1639"/>
      <c s="1639"/>
      <c s="1163"/>
      <c s="1163"/>
      <c s="1163"/>
      <c s="1163"/>
      <c s="1639"/>
      <c s="1163"/>
      <c s="1163"/>
      <c s="547"/>
      <c s="1163"/>
      <c s="1163"/>
      <c s="1163"/>
      <c s="1163"/>
      <c s="1163"/>
      <c s="1635"/>
      <c s="569"/>
      <c s="569"/>
      <c s="569"/>
      <c s="569"/>
      <c s="1644">
        <v>11</v>
      </c>
    </row>
    <row r="113" spans="1:32" s="1644" customFormat="1" ht="11.55" customHeight="1">
      <c r="A113" s="990"/>
      <c s="1639"/>
      <c s="1639"/>
      <c s="354"/>
      <c r="K113" s="1163"/>
      <c s="1639"/>
      <c s="1639"/>
      <c s="1163"/>
      <c s="1163"/>
      <c s="1163"/>
      <c s="1163"/>
      <c s="1639"/>
      <c s="1163"/>
      <c s="1163"/>
      <c s="547"/>
      <c s="1163"/>
      <c s="1163"/>
      <c s="1163"/>
      <c s="1163"/>
      <c s="1163"/>
      <c s="1635"/>
      <c s="569"/>
      <c s="569"/>
      <c s="569"/>
      <c s="569"/>
      <c s="1644">
        <v>11</v>
      </c>
    </row>
    <row r="114" spans="1:32" s="1644" customFormat="1" ht="11.55" customHeight="1">
      <c r="A114" s="990"/>
      <c s="1639"/>
      <c s="1639"/>
      <c s="354"/>
      <c r="K114" s="1163"/>
      <c s="1639"/>
      <c s="1639"/>
      <c s="1163"/>
      <c s="1163"/>
      <c s="1163"/>
      <c s="1163"/>
      <c s="1639"/>
      <c s="1163"/>
      <c s="1163"/>
      <c s="547"/>
      <c s="1163"/>
      <c s="1163"/>
      <c s="1163"/>
      <c s="1163"/>
      <c s="1163"/>
      <c s="1635"/>
      <c s="569"/>
      <c s="569"/>
      <c s="569"/>
      <c s="569"/>
      <c s="1644">
        <v>11</v>
      </c>
    </row>
    <row r="115" spans="1:32" s="1644" customFormat="1" ht="11.55" customHeight="1">
      <c r="A115" s="990"/>
      <c s="1639"/>
      <c s="1639"/>
      <c s="354"/>
      <c r="K115" s="1163"/>
      <c s="1639"/>
      <c s="1639"/>
      <c s="1163"/>
      <c s="1163"/>
      <c s="1163"/>
      <c s="1163"/>
      <c s="1639"/>
      <c s="1163"/>
      <c s="1163"/>
      <c s="547"/>
      <c s="1163"/>
      <c s="1163"/>
      <c s="1163"/>
      <c s="1163"/>
      <c s="1163"/>
      <c s="1635"/>
      <c s="569"/>
      <c s="569"/>
      <c s="569"/>
      <c s="569"/>
      <c s="1644">
        <v>11</v>
      </c>
    </row>
    <row r="116" spans="1:32" s="1644" customFormat="1" ht="11.55" customHeight="1">
      <c r="A116" s="990"/>
      <c s="1639"/>
      <c s="1639"/>
      <c s="354"/>
      <c r="K116" s="1163"/>
      <c s="1639"/>
      <c s="1639"/>
      <c s="1163"/>
      <c s="1163"/>
      <c s="1163"/>
      <c s="1163"/>
      <c s="1639"/>
      <c s="1163"/>
      <c s="1163"/>
      <c s="547"/>
      <c s="1163"/>
      <c s="1163"/>
      <c s="1163"/>
      <c s="1163"/>
      <c s="1163"/>
      <c s="1635"/>
      <c s="569"/>
      <c s="569"/>
      <c s="569"/>
      <c s="569"/>
      <c s="1644">
        <v>11</v>
      </c>
    </row>
    <row r="117" spans="1:32" s="1644" customFormat="1" ht="11.55" customHeight="1">
      <c r="A117" s="990"/>
      <c s="1639"/>
      <c s="1639"/>
      <c s="354"/>
      <c r="K117" s="1163"/>
      <c s="1639"/>
      <c s="1639"/>
      <c s="1163"/>
      <c s="1163"/>
      <c s="1163"/>
      <c s="1163"/>
      <c s="1639"/>
      <c s="1163"/>
      <c s="1163"/>
      <c s="547"/>
      <c s="1163"/>
      <c s="1163"/>
      <c s="1163"/>
      <c s="1163"/>
      <c s="1163"/>
      <c s="1635"/>
      <c s="569"/>
      <c s="569"/>
      <c s="569"/>
      <c s="569"/>
      <c s="1644">
        <v>11</v>
      </c>
    </row>
    <row r="118" spans="1:32" s="1644" customFormat="1" ht="11.55" customHeight="1">
      <c r="A118" s="990"/>
      <c s="1639"/>
      <c s="1639"/>
      <c s="354"/>
      <c r="K118" s="1163"/>
      <c s="1639"/>
      <c s="1639"/>
      <c s="1163"/>
      <c s="1163"/>
      <c s="1163"/>
      <c s="1163"/>
      <c s="1639"/>
      <c s="1163"/>
      <c s="1163"/>
      <c s="547"/>
      <c s="1163"/>
      <c s="1163"/>
      <c s="1163"/>
      <c s="1163"/>
      <c s="1163"/>
      <c s="1635"/>
      <c s="569"/>
      <c s="569"/>
      <c s="569"/>
      <c s="569"/>
      <c s="1644">
        <v>11</v>
      </c>
    </row>
    <row r="119" spans="1:32" s="1644" customFormat="1" ht="11.55" customHeight="1">
      <c r="A119" s="990"/>
      <c s="1639"/>
      <c s="1639"/>
      <c s="354"/>
      <c r="K119" s="1163"/>
      <c s="1639"/>
      <c s="1639"/>
      <c s="1163"/>
      <c s="1163"/>
      <c s="1163"/>
      <c s="1163"/>
      <c s="1639"/>
      <c s="1163"/>
      <c s="1163"/>
      <c s="547"/>
      <c s="1163"/>
      <c s="1163"/>
      <c s="1163"/>
      <c s="1163"/>
      <c s="1163"/>
      <c s="1635"/>
      <c s="569"/>
      <c s="569"/>
      <c s="569"/>
      <c s="569"/>
      <c s="1644">
        <v>11</v>
      </c>
    </row>
    <row r="120" spans="1:32" s="1644" customFormat="1" ht="11.55" customHeight="1">
      <c r="A120" s="990"/>
      <c s="1639"/>
      <c s="1639"/>
      <c s="354"/>
      <c r="K120" s="1163"/>
      <c s="1639"/>
      <c s="1639"/>
      <c s="1163"/>
      <c s="1163"/>
      <c s="1163"/>
      <c s="1163"/>
      <c s="1639"/>
      <c s="1163"/>
      <c s="1163"/>
      <c s="547"/>
      <c s="1163"/>
      <c s="1163"/>
      <c s="1163"/>
      <c s="1163"/>
      <c s="1163"/>
      <c s="1635"/>
      <c s="569"/>
      <c s="569"/>
      <c s="569"/>
      <c s="569"/>
      <c s="1644">
        <v>11</v>
      </c>
    </row>
    <row r="121" spans="1:32" s="1644" customFormat="1" ht="11.55" customHeight="1">
      <c r="A121" s="990"/>
      <c s="1639"/>
      <c s="1639"/>
      <c s="354"/>
      <c r="K121" s="1163"/>
      <c s="1639"/>
      <c s="1639"/>
      <c s="1163"/>
      <c s="1163"/>
      <c s="1163"/>
      <c s="1163"/>
      <c s="1639"/>
      <c s="1163"/>
      <c s="1163"/>
      <c s="547"/>
      <c s="1163"/>
      <c s="1163"/>
      <c s="1163"/>
      <c s="1163"/>
      <c s="1163"/>
      <c s="1635"/>
      <c s="569"/>
      <c s="569"/>
      <c s="569"/>
      <c s="569"/>
      <c s="1644">
        <v>11</v>
      </c>
    </row>
    <row r="122" spans="1:32" s="1644" customFormat="1" ht="11.55" customHeight="1">
      <c r="A122" s="990"/>
      <c s="1639"/>
      <c s="1639"/>
      <c s="354"/>
      <c r="K122" s="1163"/>
      <c s="1639"/>
      <c s="1639"/>
      <c s="1163"/>
      <c s="1163"/>
      <c s="1163"/>
      <c s="1163"/>
      <c s="1639"/>
      <c s="1163"/>
      <c s="1163"/>
      <c s="547"/>
      <c s="1163"/>
      <c s="1163"/>
      <c s="1163"/>
      <c s="1163"/>
      <c s="1163"/>
      <c s="1635"/>
      <c s="569"/>
      <c s="569"/>
      <c s="569"/>
      <c s="569"/>
      <c s="1644">
        <v>11</v>
      </c>
    </row>
    <row r="123" spans="1:32" s="1644" customFormat="1" ht="11.55" customHeight="1">
      <c r="A123" s="990"/>
      <c s="1639"/>
      <c s="1639"/>
      <c s="354"/>
      <c r="K123" s="1163"/>
      <c s="1639"/>
      <c s="1639"/>
      <c s="1163"/>
      <c s="1163"/>
      <c s="1163"/>
      <c s="1163"/>
      <c s="1639"/>
      <c s="1163"/>
      <c s="1163"/>
      <c s="547"/>
      <c s="1163"/>
      <c s="1163"/>
      <c s="1163"/>
      <c s="1163"/>
      <c s="1163"/>
      <c s="1635"/>
      <c s="569"/>
      <c s="569"/>
      <c s="569"/>
      <c s="569"/>
      <c s="1644">
        <v>11</v>
      </c>
    </row>
    <row r="124" spans="1:32" s="1644" customFormat="1" ht="11.55" customHeight="1">
      <c r="A124" s="990"/>
      <c s="1639"/>
      <c s="1639"/>
      <c s="354"/>
      <c r="K124" s="1163"/>
      <c s="1639"/>
      <c s="1639"/>
      <c s="1163"/>
      <c s="1163"/>
      <c s="1163"/>
      <c s="1163"/>
      <c s="1639"/>
      <c s="1163"/>
      <c s="1163"/>
      <c s="547"/>
      <c s="1163"/>
      <c s="1163"/>
      <c s="1163"/>
      <c s="1163"/>
      <c s="1163"/>
      <c s="1635"/>
      <c s="569"/>
      <c s="569"/>
      <c s="569"/>
      <c s="569"/>
      <c s="1644">
        <v>11</v>
      </c>
    </row>
    <row r="125" spans="1:32" s="1644" customFormat="1" ht="11.55" customHeight="1">
      <c r="A125" s="990"/>
      <c s="1639"/>
      <c s="1639"/>
      <c s="354"/>
      <c r="K125" s="1163"/>
      <c s="1639"/>
      <c s="1639"/>
      <c s="1163"/>
      <c s="1163"/>
      <c s="1163"/>
      <c s="1163"/>
      <c s="1639"/>
      <c s="1163"/>
      <c s="1163"/>
      <c s="547"/>
      <c s="1163"/>
      <c s="1163"/>
      <c s="1163"/>
      <c s="1163"/>
      <c s="1163"/>
      <c s="1635"/>
      <c s="569"/>
      <c s="569"/>
      <c s="569"/>
      <c s="569"/>
      <c s="1644">
        <v>11</v>
      </c>
    </row>
    <row r="126" spans="1:32" s="1644" customFormat="1" ht="11.55" customHeight="1">
      <c r="A126" s="990"/>
      <c s="1639"/>
      <c s="1639"/>
      <c s="354"/>
      <c r="K126" s="1163"/>
      <c s="1639"/>
      <c s="1639"/>
      <c s="1163"/>
      <c s="1163"/>
      <c s="1163"/>
      <c s="1163"/>
      <c s="1639"/>
      <c s="1163"/>
      <c s="1163"/>
      <c s="547"/>
      <c s="1163"/>
      <c s="1163"/>
      <c s="1163"/>
      <c s="1163"/>
      <c s="1163"/>
      <c s="1635"/>
      <c s="569"/>
      <c s="569"/>
      <c s="569"/>
      <c s="569"/>
      <c s="1644">
        <v>11</v>
      </c>
    </row>
    <row r="127" spans="1:32" s="1644" customFormat="1" ht="11.55" customHeight="1">
      <c r="A127" s="990"/>
      <c s="1639"/>
      <c s="1639"/>
      <c s="354"/>
      <c r="K127" s="1163"/>
      <c s="1639"/>
      <c s="1639"/>
      <c s="1163"/>
      <c s="1163"/>
      <c s="1163"/>
      <c s="1163"/>
      <c s="1639"/>
      <c s="1163"/>
      <c s="1163"/>
      <c s="547"/>
      <c s="1163"/>
      <c s="1163"/>
      <c s="1163"/>
      <c s="1163"/>
      <c s="1163"/>
      <c s="1635"/>
      <c s="569"/>
      <c s="569"/>
      <c s="569"/>
      <c s="569"/>
      <c s="1644">
        <v>11</v>
      </c>
    </row>
    <row r="128" spans="1:32" s="1644" customFormat="1" ht="11.55" customHeight="1">
      <c r="A128" s="990"/>
      <c s="1639"/>
      <c s="1639"/>
      <c s="354"/>
      <c r="K128" s="1163"/>
      <c s="1639"/>
      <c s="1639"/>
      <c s="1163"/>
      <c s="1163"/>
      <c s="1163"/>
      <c s="1163"/>
      <c s="1639"/>
      <c s="1163"/>
      <c s="1163"/>
      <c s="547"/>
      <c s="1163"/>
      <c s="1163"/>
      <c s="1163"/>
      <c s="1163"/>
      <c s="1163"/>
      <c s="1635"/>
      <c s="569"/>
      <c s="569"/>
      <c s="569"/>
      <c s="569"/>
      <c s="1644">
        <v>11</v>
      </c>
    </row>
    <row r="129" spans="1:32" s="1644" customFormat="1" ht="11.55" customHeight="1">
      <c r="A129" s="990"/>
      <c s="1639"/>
      <c s="1639"/>
      <c s="354"/>
      <c r="K129" s="1163"/>
      <c s="1639"/>
      <c s="1639"/>
      <c s="1163"/>
      <c s="1163"/>
      <c s="1163"/>
      <c s="1163"/>
      <c s="1639"/>
      <c s="1163"/>
      <c s="1163"/>
      <c s="547"/>
      <c s="1163"/>
      <c s="1163"/>
      <c s="1163"/>
      <c s="1163"/>
      <c s="1163"/>
      <c s="1635"/>
      <c s="569"/>
      <c s="569"/>
      <c s="569"/>
      <c s="569"/>
      <c s="1644">
        <v>11</v>
      </c>
    </row>
    <row r="130" spans="1:32" s="1644" customFormat="1" ht="11.55" customHeight="1">
      <c r="A130" s="990"/>
      <c s="1639"/>
      <c s="1639"/>
      <c s="354"/>
      <c r="K130" s="1163"/>
      <c s="1639"/>
      <c s="1639"/>
      <c s="1163"/>
      <c s="1163"/>
      <c s="1163"/>
      <c s="1163"/>
      <c s="1639"/>
      <c s="1163"/>
      <c s="1163"/>
      <c s="547"/>
      <c s="1163"/>
      <c s="1163"/>
      <c s="1163"/>
      <c s="1163"/>
      <c s="1163"/>
      <c s="1635"/>
      <c s="569"/>
      <c s="569"/>
      <c s="569"/>
      <c s="569"/>
      <c s="1644">
        <v>11</v>
      </c>
    </row>
    <row r="131" spans="1:32" s="1644" customFormat="1" ht="11.55" customHeight="1">
      <c r="A131" s="990"/>
      <c s="1639"/>
      <c s="1639"/>
      <c s="354"/>
      <c r="K131" s="1163"/>
      <c s="1639"/>
      <c s="1639"/>
      <c s="1163"/>
      <c s="1163"/>
      <c s="1163"/>
      <c s="1163"/>
      <c s="1639"/>
      <c s="1163"/>
      <c s="1163"/>
      <c s="547"/>
      <c s="1163"/>
      <c s="1163"/>
      <c s="1163"/>
      <c s="1163"/>
      <c s="1163"/>
      <c s="1635"/>
      <c s="569"/>
      <c s="569"/>
      <c s="569"/>
      <c s="569"/>
      <c s="1644">
        <v>11</v>
      </c>
    </row>
    <row r="132" spans="1:32" s="1644" customFormat="1" ht="11.55" customHeight="1">
      <c r="A132" s="990"/>
      <c s="1639"/>
      <c s="1639"/>
      <c s="354"/>
      <c r="K132" s="1163"/>
      <c s="1639"/>
      <c s="1639"/>
      <c s="1163"/>
      <c s="1163"/>
      <c s="1163"/>
      <c s="1163"/>
      <c s="1639"/>
      <c s="1163"/>
      <c s="1163"/>
      <c s="547"/>
      <c s="1163"/>
      <c s="1163"/>
      <c s="1163"/>
      <c s="1163"/>
      <c s="1163"/>
      <c s="1635"/>
      <c s="569"/>
      <c s="569"/>
      <c s="569"/>
      <c s="569"/>
      <c s="1644">
        <v>11</v>
      </c>
    </row>
    <row r="133" spans="1:32" s="1644" customFormat="1" ht="11.55" customHeight="1">
      <c r="A133" s="990"/>
      <c s="1639"/>
      <c s="1639"/>
      <c s="354"/>
      <c r="K133" s="1163"/>
      <c s="1639"/>
      <c s="1639"/>
      <c s="1163"/>
      <c s="1163"/>
      <c s="1163"/>
      <c s="1163"/>
      <c s="1639"/>
      <c s="1163"/>
      <c s="1163"/>
      <c s="547"/>
      <c s="1163"/>
      <c s="1163"/>
      <c s="1163"/>
      <c s="1163"/>
      <c s="1163"/>
      <c s="1635"/>
      <c s="569"/>
      <c s="569"/>
      <c s="569"/>
      <c s="569"/>
      <c s="1644">
        <v>11</v>
      </c>
    </row>
    <row r="134" spans="1:32" s="1644" customFormat="1" ht="11.55" customHeight="1">
      <c r="A134" s="990"/>
      <c s="1639"/>
      <c s="1639"/>
      <c s="354"/>
      <c r="K134" s="1163"/>
      <c s="1639"/>
      <c s="1639"/>
      <c s="1163"/>
      <c s="1163"/>
      <c s="1163"/>
      <c s="1163"/>
      <c s="1639"/>
      <c s="1163"/>
      <c s="1163"/>
      <c s="547"/>
      <c s="1163"/>
      <c s="1163"/>
      <c s="1163"/>
      <c s="1163"/>
      <c s="1163"/>
      <c s="1635"/>
      <c s="569"/>
      <c s="569"/>
      <c s="569"/>
      <c s="569"/>
      <c s="1644">
        <v>11</v>
      </c>
    </row>
    <row r="135" spans="1:32" s="1644" customFormat="1" ht="11.55" customHeight="1">
      <c r="A135" s="990"/>
      <c s="1639"/>
      <c s="1639"/>
      <c s="354"/>
      <c r="K135" s="1163"/>
      <c s="1639"/>
      <c s="1639"/>
      <c s="1163"/>
      <c s="1163"/>
      <c s="1163"/>
      <c s="1163"/>
      <c s="1639"/>
      <c s="1163"/>
      <c s="1163"/>
      <c s="547"/>
      <c s="1163"/>
      <c s="1163"/>
      <c s="1163"/>
      <c s="1163"/>
      <c s="1163"/>
      <c s="1635"/>
      <c s="569"/>
      <c s="569"/>
      <c s="569"/>
      <c s="569"/>
      <c s="1644">
        <v>11</v>
      </c>
    </row>
    <row r="136" spans="1:32" s="1644" customFormat="1" ht="11.55" customHeight="1">
      <c r="A136" s="990"/>
      <c s="1639"/>
      <c s="1639"/>
      <c s="354"/>
      <c r="K136" s="1163"/>
      <c s="1639"/>
      <c s="1639"/>
      <c s="1163"/>
      <c s="1163"/>
      <c s="1163"/>
      <c s="1163"/>
      <c s="1639"/>
      <c s="1163"/>
      <c s="1163"/>
      <c s="547"/>
      <c s="1163"/>
      <c s="1163"/>
      <c s="1163"/>
      <c s="1163"/>
      <c s="1163"/>
      <c s="1635"/>
      <c s="569"/>
      <c s="569"/>
      <c s="569"/>
      <c s="569"/>
      <c s="1644">
        <v>11</v>
      </c>
    </row>
    <row r="137" spans="1:32" s="1644" customFormat="1" ht="11.55" customHeight="1">
      <c r="A137" s="990"/>
      <c s="1639"/>
      <c s="1639"/>
      <c s="354"/>
      <c r="K137" s="1163"/>
      <c s="1639"/>
      <c s="1639"/>
      <c s="1163"/>
      <c s="1163"/>
      <c s="1163"/>
      <c s="1163"/>
      <c s="1639"/>
      <c s="1163"/>
      <c s="1163"/>
      <c s="547"/>
      <c s="1163"/>
      <c s="1163"/>
      <c s="1163"/>
      <c s="1163"/>
      <c s="1163"/>
      <c s="1635"/>
      <c s="569"/>
      <c s="569"/>
      <c s="569"/>
      <c s="569"/>
      <c s="1644">
        <v>11</v>
      </c>
    </row>
    <row r="138" spans="1:32" s="1644" customFormat="1" ht="11.55" customHeight="1">
      <c r="A138" s="990"/>
      <c s="1639"/>
      <c s="1639"/>
      <c s="354"/>
      <c r="K138" s="1163"/>
      <c s="1639"/>
      <c s="1639"/>
      <c s="1163"/>
      <c s="1163"/>
      <c s="1163"/>
      <c s="1163"/>
      <c s="1639"/>
      <c s="1163"/>
      <c s="1163"/>
      <c s="547"/>
      <c s="1163"/>
      <c s="1163"/>
      <c s="1163"/>
      <c s="1163"/>
      <c s="1163"/>
      <c s="1635"/>
      <c s="569"/>
      <c s="569"/>
      <c s="569"/>
      <c s="569"/>
      <c s="1644">
        <v>11</v>
      </c>
    </row>
    <row r="139" spans="1:32" s="1644" customFormat="1" ht="11.55" customHeight="1">
      <c r="A139" s="990"/>
      <c s="1639"/>
      <c s="1639"/>
      <c s="354"/>
      <c r="K139" s="1163"/>
      <c s="1639"/>
      <c s="1639"/>
      <c s="1163"/>
      <c s="1163"/>
      <c s="1163"/>
      <c s="1163"/>
      <c s="1639"/>
      <c s="1163"/>
      <c s="1163"/>
      <c s="547"/>
      <c s="1163"/>
      <c s="1163"/>
      <c s="1163"/>
      <c s="1163"/>
      <c s="1163"/>
      <c s="1635"/>
      <c s="569"/>
      <c s="569"/>
      <c s="569"/>
      <c s="569"/>
      <c s="1644">
        <v>11</v>
      </c>
    </row>
    <row r="140" spans="1:32" s="1644" customFormat="1" ht="11.55" customHeight="1">
      <c r="A140" s="990"/>
      <c s="1639"/>
      <c s="1639"/>
      <c s="354"/>
      <c r="K140" s="1163"/>
      <c s="1639"/>
      <c s="1639"/>
      <c s="1163"/>
      <c s="1163"/>
      <c s="1163"/>
      <c s="1163"/>
      <c s="1639"/>
      <c s="1163"/>
      <c s="1163"/>
      <c s="547"/>
      <c s="1163"/>
      <c s="1163"/>
      <c s="1163"/>
      <c s="1163"/>
      <c s="1163"/>
      <c s="1635"/>
      <c s="569"/>
      <c s="569"/>
      <c s="569"/>
      <c s="569"/>
      <c s="1644">
        <v>11</v>
      </c>
    </row>
    <row r="141" spans="1:32" s="1644" customFormat="1" ht="11.55" customHeight="1">
      <c r="A141" s="990"/>
      <c s="1639"/>
      <c s="1639"/>
      <c s="354"/>
      <c r="K141" s="1163"/>
      <c s="1639"/>
      <c s="1639"/>
      <c s="1163"/>
      <c s="1163"/>
      <c s="1163"/>
      <c s="1163"/>
      <c s="1639"/>
      <c s="1163"/>
      <c s="1163"/>
      <c s="547"/>
      <c s="1163"/>
      <c s="1163"/>
      <c s="1163"/>
      <c s="1163"/>
      <c s="1163"/>
      <c s="1635"/>
      <c s="569"/>
      <c s="569"/>
      <c s="569"/>
      <c s="569"/>
      <c s="1644">
        <v>11</v>
      </c>
    </row>
    <row r="142" spans="1:32" s="1644" customFormat="1" ht="11.55" customHeight="1">
      <c r="A142" s="990"/>
      <c s="1639"/>
      <c s="1639"/>
      <c s="354"/>
      <c r="K142" s="1163"/>
      <c s="1639"/>
      <c s="1639"/>
      <c s="1163"/>
      <c s="1163"/>
      <c s="1163"/>
      <c s="1163"/>
      <c s="1639"/>
      <c s="1163"/>
      <c s="1163"/>
      <c s="547"/>
      <c s="1163"/>
      <c s="1163"/>
      <c s="1163"/>
      <c s="1163"/>
      <c s="1163"/>
      <c s="1635"/>
      <c s="569"/>
      <c s="569"/>
      <c s="569"/>
      <c s="569"/>
      <c s="1644">
        <v>11</v>
      </c>
    </row>
    <row r="143" spans="1:32" s="1644" customFormat="1" ht="11.55" customHeight="1">
      <c r="A143" s="990"/>
      <c s="1639"/>
      <c s="1639"/>
      <c s="354"/>
      <c r="K143" s="1163"/>
      <c s="1639"/>
      <c s="1639"/>
      <c s="1163"/>
      <c s="1163"/>
      <c s="1163"/>
      <c s="1163"/>
      <c s="1639"/>
      <c s="1163"/>
      <c s="1163"/>
      <c s="547"/>
      <c s="1163"/>
      <c s="1163"/>
      <c s="1163"/>
      <c s="1163"/>
      <c s="1163"/>
      <c s="1635"/>
      <c s="569"/>
      <c s="569"/>
      <c s="569"/>
      <c s="569"/>
      <c s="1644">
        <v>11</v>
      </c>
    </row>
    <row r="144" spans="1:32" s="1644" customFormat="1" ht="11.55" customHeight="1">
      <c r="A144" s="990"/>
      <c s="1639"/>
      <c s="1639"/>
      <c s="354"/>
      <c r="K144" s="1163"/>
      <c s="1639"/>
      <c s="1639"/>
      <c s="1163"/>
      <c s="1163"/>
      <c s="1163"/>
      <c s="1163"/>
      <c s="1639"/>
      <c s="1163"/>
      <c s="1163"/>
      <c s="547"/>
      <c s="1163"/>
      <c s="1163"/>
      <c s="1163"/>
      <c s="1163"/>
      <c s="1163"/>
      <c s="1635"/>
      <c s="569"/>
      <c s="569"/>
      <c s="569"/>
      <c s="569"/>
      <c s="1644">
        <v>11</v>
      </c>
    </row>
    <row r="145" spans="1:32" s="1644" customFormat="1" ht="11.55" customHeight="1">
      <c r="A145" s="990"/>
      <c s="1639"/>
      <c s="1639"/>
      <c s="354"/>
      <c r="K145" s="1163"/>
      <c s="1639"/>
      <c s="1639"/>
      <c s="1163"/>
      <c s="1163"/>
      <c s="1163"/>
      <c s="1163"/>
      <c s="1639"/>
      <c s="1163"/>
      <c s="1163"/>
      <c s="547"/>
      <c s="1163"/>
      <c s="1163"/>
      <c s="1163"/>
      <c s="1163"/>
      <c s="1163"/>
      <c s="1635"/>
      <c s="569"/>
      <c s="569"/>
      <c s="569"/>
      <c s="569"/>
      <c s="1644">
        <v>11</v>
      </c>
    </row>
    <row r="146" spans="1:32" s="1644" customFormat="1" ht="11.55" customHeight="1">
      <c r="A146" s="990"/>
      <c s="1639"/>
      <c s="1639"/>
      <c s="354"/>
      <c r="K146" s="1163"/>
      <c s="1639"/>
      <c s="1639"/>
      <c s="1163"/>
      <c s="1163"/>
      <c s="1163"/>
      <c s="1163"/>
      <c s="1639"/>
      <c s="1163"/>
      <c s="1163"/>
      <c s="547"/>
      <c s="1163"/>
      <c s="1163"/>
      <c s="1163"/>
      <c s="1163"/>
      <c s="1163"/>
      <c s="1635"/>
      <c s="569"/>
      <c s="569"/>
      <c s="569"/>
      <c s="569"/>
      <c s="1644">
        <v>11</v>
      </c>
    </row>
    <row r="147" spans="1:32" s="1644" customFormat="1" ht="11.55" customHeight="1">
      <c r="A147" s="990"/>
      <c s="1639"/>
      <c s="1639"/>
      <c s="354"/>
      <c r="K147" s="1163"/>
      <c s="1639"/>
      <c s="1639"/>
      <c s="1163"/>
      <c s="1163"/>
      <c s="1163"/>
      <c s="1163"/>
      <c s="1639"/>
      <c s="1163"/>
      <c s="1163"/>
      <c s="547"/>
      <c s="1163"/>
      <c s="1163"/>
      <c s="1163"/>
      <c s="1163"/>
      <c s="1163"/>
      <c s="1635"/>
      <c s="569"/>
      <c s="569"/>
      <c s="569"/>
      <c s="569"/>
      <c s="1644">
        <v>11</v>
      </c>
    </row>
    <row r="148" spans="1:32" s="1644" customFormat="1" ht="11.55" customHeight="1">
      <c r="A148" s="990"/>
      <c s="1639"/>
      <c s="1639"/>
      <c s="354"/>
      <c r="K148" s="1163"/>
      <c s="1639"/>
      <c s="1639"/>
      <c s="1163"/>
      <c s="1163"/>
      <c s="1163"/>
      <c s="1163"/>
      <c s="1639"/>
      <c s="1163"/>
      <c s="1163"/>
      <c s="547"/>
      <c s="1163"/>
      <c s="1163"/>
      <c s="1163"/>
      <c s="1163"/>
      <c s="1163"/>
      <c s="1635"/>
      <c s="569"/>
      <c s="569"/>
      <c s="569"/>
      <c s="569"/>
      <c s="1644">
        <v>11</v>
      </c>
    </row>
    <row r="149" spans="1:32" s="1644" customFormat="1" ht="11.55" customHeight="1">
      <c r="A149" s="990"/>
      <c s="1639"/>
      <c s="1639"/>
      <c s="354"/>
      <c r="K149" s="1163"/>
      <c s="1639"/>
      <c s="1639"/>
      <c s="1163"/>
      <c s="1163"/>
      <c s="1163"/>
      <c s="1163"/>
      <c s="1639"/>
      <c s="1163"/>
      <c s="1163"/>
      <c s="547"/>
      <c s="1163"/>
      <c s="1163"/>
      <c s="1163"/>
      <c s="1163"/>
      <c s="1163"/>
      <c s="1635"/>
      <c s="569"/>
      <c s="569"/>
      <c s="569"/>
      <c s="569"/>
      <c s="1644">
        <v>11</v>
      </c>
    </row>
    <row r="150" spans="1:32" s="1644" customFormat="1" ht="11.55" customHeight="1">
      <c r="A150" s="990"/>
      <c s="1639"/>
      <c s="1639"/>
      <c s="354"/>
      <c r="K150" s="1163"/>
      <c s="1639"/>
      <c s="1639"/>
      <c s="1163"/>
      <c s="1163"/>
      <c s="1163"/>
      <c s="1163"/>
      <c s="1639"/>
      <c s="1163"/>
      <c s="1163"/>
      <c s="547"/>
      <c s="1163"/>
      <c s="1163"/>
      <c s="1163"/>
      <c s="1163"/>
      <c s="1163"/>
      <c s="1635"/>
      <c s="569"/>
      <c s="569"/>
      <c s="569"/>
      <c s="569"/>
      <c s="1644">
        <v>11</v>
      </c>
    </row>
    <row r="151" spans="1:32" s="1644" customFormat="1" ht="11.55" customHeight="1">
      <c r="A151" s="990"/>
      <c s="1639"/>
      <c s="1639"/>
      <c s="354"/>
      <c r="K151" s="1163"/>
      <c s="1639"/>
      <c s="1639"/>
      <c s="1163"/>
      <c s="1163"/>
      <c s="1163"/>
      <c s="1163"/>
      <c s="1639"/>
      <c s="1163"/>
      <c s="1163"/>
      <c s="547"/>
      <c s="1163"/>
      <c s="1163"/>
      <c s="1163"/>
      <c s="1163"/>
      <c s="1163"/>
      <c s="1635"/>
      <c s="569"/>
      <c s="569"/>
      <c s="569"/>
      <c s="569"/>
      <c s="1644">
        <v>11</v>
      </c>
    </row>
    <row r="152" spans="1:32" s="1644" customFormat="1" ht="11.55" customHeight="1">
      <c r="A152" s="990"/>
      <c s="1639"/>
      <c s="1639"/>
      <c s="354"/>
      <c r="K152" s="1163"/>
      <c s="1639"/>
      <c s="1639"/>
      <c s="1163"/>
      <c s="1163"/>
      <c s="1163"/>
      <c s="1163"/>
      <c s="1639"/>
      <c s="1163"/>
      <c s="1163"/>
      <c s="547"/>
      <c s="1163"/>
      <c s="1163"/>
      <c s="1163"/>
      <c s="1163"/>
      <c s="1163"/>
      <c s="1635"/>
      <c s="569"/>
      <c s="569"/>
      <c s="569"/>
      <c s="569"/>
      <c s="1644">
        <v>11</v>
      </c>
    </row>
    <row r="153" spans="1:32" s="1644" customFormat="1" ht="11.55" customHeight="1">
      <c r="A153" s="990"/>
      <c s="1639"/>
      <c s="1639"/>
      <c s="354"/>
      <c r="K153" s="1163"/>
      <c s="1639"/>
      <c s="1639"/>
      <c s="1163"/>
      <c s="1163"/>
      <c s="1163"/>
      <c s="1163"/>
      <c s="1639"/>
      <c s="1163"/>
      <c s="1163"/>
      <c s="547"/>
      <c s="1163"/>
      <c s="1163"/>
      <c s="1163"/>
      <c s="1163"/>
      <c s="1163"/>
      <c s="1635"/>
      <c s="569"/>
      <c s="569"/>
      <c s="569"/>
      <c s="569"/>
      <c s="1644">
        <v>11</v>
      </c>
    </row>
    <row r="154" spans="1:32" s="1644" customFormat="1" ht="11.55" customHeight="1">
      <c r="A154" s="990"/>
      <c s="1639"/>
      <c s="1639"/>
      <c s="354"/>
      <c r="K154" s="1163"/>
      <c s="1639"/>
      <c s="1639"/>
      <c s="1163"/>
      <c s="1163"/>
      <c s="1163"/>
      <c s="1163"/>
      <c s="1639"/>
      <c s="1163"/>
      <c s="1163"/>
      <c s="547"/>
      <c s="1163"/>
      <c s="1163"/>
      <c s="1163"/>
      <c s="1163"/>
      <c s="1163"/>
      <c s="1635"/>
      <c s="569"/>
      <c s="569"/>
      <c s="569"/>
      <c s="569"/>
      <c s="1644">
        <v>11</v>
      </c>
    </row>
    <row r="155" spans="1:32" s="1644" customFormat="1" ht="11.55" customHeight="1">
      <c r="A155" s="990"/>
      <c s="1639"/>
      <c s="1639"/>
      <c s="354"/>
      <c r="K155" s="1163"/>
      <c s="1639"/>
      <c s="1639"/>
      <c s="1163"/>
      <c s="1163"/>
      <c s="1163"/>
      <c s="1163"/>
      <c s="1639"/>
      <c s="1163"/>
      <c s="1163"/>
      <c s="547"/>
      <c s="1163"/>
      <c s="1163"/>
      <c s="1163"/>
      <c s="1163"/>
      <c s="1163"/>
      <c s="1635"/>
      <c s="569"/>
      <c s="569"/>
      <c s="569"/>
      <c s="569"/>
      <c s="1644">
        <v>11</v>
      </c>
    </row>
    <row r="156" spans="1:32" s="1644" customFormat="1" ht="11.55" customHeight="1">
      <c r="A156" s="990"/>
      <c s="1639"/>
      <c s="1639"/>
      <c s="354"/>
      <c r="K156" s="1163"/>
      <c s="1639"/>
      <c s="1639"/>
      <c s="1163"/>
      <c s="1163"/>
      <c s="1163"/>
      <c s="1163"/>
      <c s="1639"/>
      <c s="1163"/>
      <c s="1163"/>
      <c s="547"/>
      <c s="1163"/>
      <c s="1163"/>
      <c s="1163"/>
      <c s="1163"/>
      <c s="1163"/>
      <c s="1635"/>
      <c s="569"/>
      <c s="569"/>
      <c s="569"/>
      <c s="569"/>
      <c s="1644">
        <v>11</v>
      </c>
    </row>
    <row r="157" spans="1:32" s="1644" customFormat="1" ht="11.55" customHeight="1">
      <c r="A157" s="990"/>
      <c s="1639"/>
      <c s="1639"/>
      <c s="354"/>
      <c r="K157" s="1163"/>
      <c s="1639"/>
      <c s="1639"/>
      <c s="1163"/>
      <c s="1163"/>
      <c s="1163"/>
      <c s="1163"/>
      <c s="1639"/>
      <c s="1163"/>
      <c s="1163"/>
      <c s="547"/>
      <c s="1163"/>
      <c s="1163"/>
      <c s="1163"/>
      <c s="1163"/>
      <c s="1163"/>
      <c s="1635"/>
      <c s="569"/>
      <c s="569"/>
      <c s="569"/>
      <c s="569"/>
      <c s="1644">
        <v>11</v>
      </c>
    </row>
    <row r="158" spans="1:32" s="1644" customFormat="1" ht="11.55" customHeight="1">
      <c r="A158" s="990"/>
      <c s="1639"/>
      <c s="1639"/>
      <c s="354"/>
      <c r="K158" s="1163"/>
      <c s="1639"/>
      <c s="1639"/>
      <c s="1163"/>
      <c s="1163"/>
      <c s="1163"/>
      <c s="1163"/>
      <c s="1639"/>
      <c s="1163"/>
      <c s="1163"/>
      <c s="547"/>
      <c s="1163"/>
      <c s="1163"/>
      <c s="1163"/>
      <c s="1163"/>
      <c s="1163"/>
      <c s="1635"/>
      <c s="569"/>
      <c s="569"/>
      <c s="569"/>
      <c s="569"/>
      <c s="1644">
        <v>11</v>
      </c>
    </row>
    <row r="159" spans="1:32" s="1644" customFormat="1" ht="11.55" customHeight="1">
      <c r="A159" s="990"/>
      <c s="1639"/>
      <c s="1639"/>
      <c s="354"/>
      <c r="K159" s="1163"/>
      <c s="1639"/>
      <c s="1639"/>
      <c s="1163"/>
      <c s="1163"/>
      <c s="1163"/>
      <c s="1163"/>
      <c s="1639"/>
      <c s="1163"/>
      <c s="1163"/>
      <c s="547"/>
      <c s="1163"/>
      <c s="1163"/>
      <c s="1163"/>
      <c s="1163"/>
      <c s="1163"/>
      <c s="1635"/>
      <c s="569"/>
      <c s="569"/>
      <c s="569"/>
      <c s="569"/>
      <c s="1644">
        <v>11</v>
      </c>
    </row>
    <row r="160" spans="1:32" s="1644" customFormat="1" ht="11.55" customHeight="1">
      <c r="A160" s="990"/>
      <c s="1639"/>
      <c s="1639"/>
      <c s="354"/>
      <c r="K160" s="1163"/>
      <c s="1639"/>
      <c s="1639"/>
      <c s="1163"/>
      <c s="1163"/>
      <c s="1163"/>
      <c s="1163"/>
      <c s="1639"/>
      <c s="1163"/>
      <c s="1163"/>
      <c s="547"/>
      <c s="1163"/>
      <c s="1163"/>
      <c s="1163"/>
      <c s="1163"/>
      <c s="1163"/>
      <c s="1635"/>
      <c s="569"/>
      <c s="569"/>
      <c s="569"/>
      <c s="569"/>
      <c s="1644">
        <v>11</v>
      </c>
    </row>
    <row r="161" spans="1:32" s="1644" customFormat="1" ht="11.55" customHeight="1">
      <c r="A161" s="990"/>
      <c s="1639"/>
      <c s="1639"/>
      <c s="354"/>
      <c r="K161" s="1163"/>
      <c s="1639"/>
      <c s="1639"/>
      <c s="1163"/>
      <c s="1163"/>
      <c s="1163"/>
      <c s="1163"/>
      <c s="1639"/>
      <c s="1163"/>
      <c s="1163"/>
      <c s="547"/>
      <c s="1163"/>
      <c s="1163"/>
      <c s="1163"/>
      <c s="1163"/>
      <c s="1163"/>
      <c s="1635"/>
      <c s="569"/>
      <c s="569"/>
      <c s="569"/>
      <c s="569"/>
      <c s="1644">
        <v>11</v>
      </c>
    </row>
    <row r="162" spans="1:32" s="1644" customFormat="1" ht="11.55" customHeight="1">
      <c r="A162" s="990"/>
      <c s="1639"/>
      <c s="1639"/>
      <c s="354"/>
      <c r="K162" s="1163"/>
      <c s="1639"/>
      <c s="1639"/>
      <c s="1163"/>
      <c s="1163"/>
      <c s="1163"/>
      <c s="1163"/>
      <c s="1639"/>
      <c s="1163"/>
      <c s="1163"/>
      <c s="547"/>
      <c s="1163"/>
      <c s="1163"/>
      <c s="1163"/>
      <c s="1163"/>
      <c s="1163"/>
      <c s="1635"/>
      <c s="569"/>
      <c s="569"/>
      <c s="569"/>
      <c s="569"/>
      <c s="1644">
        <v>11</v>
      </c>
    </row>
    <row r="163" spans="1:32" s="1644" customFormat="1" ht="11.55" customHeight="1">
      <c r="A163" s="990"/>
      <c s="1639"/>
      <c s="1639"/>
      <c s="354"/>
      <c r="K163" s="1163"/>
      <c s="1639"/>
      <c s="1639"/>
      <c s="1163"/>
      <c s="1163"/>
      <c s="1163"/>
      <c s="1163"/>
      <c s="1639"/>
      <c s="1163"/>
      <c s="1163"/>
      <c s="547"/>
      <c s="1163"/>
      <c s="1163"/>
      <c s="1163"/>
      <c s="1163"/>
      <c s="1163"/>
      <c s="1635"/>
      <c s="569"/>
      <c s="569"/>
      <c s="569"/>
      <c s="569"/>
      <c s="1644">
        <v>11</v>
      </c>
    </row>
    <row r="164" spans="1:32" s="1644" customFormat="1" ht="11.55" customHeight="1">
      <c r="A164" s="990"/>
      <c s="1639"/>
      <c s="1639"/>
      <c s="354"/>
      <c r="K164" s="1163"/>
      <c s="1639"/>
      <c s="1639"/>
      <c s="1163"/>
      <c s="1163"/>
      <c s="1163"/>
      <c s="1163"/>
      <c s="1639"/>
      <c s="1163"/>
      <c s="1163"/>
      <c s="547"/>
      <c s="1163"/>
      <c s="1163"/>
      <c s="1163"/>
      <c s="1163"/>
      <c s="1163"/>
      <c s="1635"/>
      <c s="569"/>
      <c s="569"/>
      <c s="569"/>
      <c s="569"/>
      <c s="1644">
        <v>11</v>
      </c>
    </row>
    <row r="165" spans="1:32" s="1644" customFormat="1" ht="11.55" customHeight="1">
      <c r="A165" s="990"/>
      <c s="1639"/>
      <c s="1639"/>
      <c s="354"/>
      <c r="K165" s="1163"/>
      <c s="1639"/>
      <c s="1639"/>
      <c s="1163"/>
      <c s="1163"/>
      <c s="1163"/>
      <c s="1163"/>
      <c s="1639"/>
      <c s="1163"/>
      <c s="1163"/>
      <c s="547"/>
      <c s="1163"/>
      <c s="1163"/>
      <c s="1163"/>
      <c s="1163"/>
      <c s="1163"/>
      <c s="1635"/>
      <c s="569"/>
      <c s="569"/>
      <c s="569"/>
      <c s="569"/>
      <c s="1644">
        <v>11</v>
      </c>
    </row>
    <row r="166" spans="1:32" s="1644" customFormat="1" ht="11.55" customHeight="1">
      <c r="A166" s="990"/>
      <c s="1639"/>
      <c s="1639"/>
      <c s="354"/>
      <c r="K166" s="1163"/>
      <c s="1639"/>
      <c s="1639"/>
      <c s="1163"/>
      <c s="1163"/>
      <c s="1163"/>
      <c s="1163"/>
      <c s="1639"/>
      <c s="1163"/>
      <c s="1163"/>
      <c s="547"/>
      <c s="1163"/>
      <c s="1163"/>
      <c s="1163"/>
      <c s="1163"/>
      <c s="1163"/>
      <c s="1635"/>
      <c s="569"/>
      <c s="569"/>
      <c s="569"/>
      <c s="569"/>
      <c s="1644">
        <v>11</v>
      </c>
    </row>
    <row r="167" spans="1:32" s="1644" customFormat="1" ht="11.55" customHeight="1">
      <c r="A167" s="990"/>
      <c s="1639"/>
      <c s="1639"/>
      <c s="354"/>
      <c r="K167" s="1163"/>
      <c s="1639"/>
      <c s="1639"/>
      <c s="1163"/>
      <c s="1163"/>
      <c s="1163"/>
      <c s="1163"/>
      <c s="1639"/>
      <c s="1163"/>
      <c s="1163"/>
      <c s="547"/>
      <c s="1163"/>
      <c s="1163"/>
      <c s="1163"/>
      <c s="1163"/>
      <c s="1163"/>
      <c s="1635"/>
      <c s="569"/>
      <c s="569"/>
      <c s="569"/>
      <c s="569"/>
      <c s="1644">
        <v>11</v>
      </c>
    </row>
    <row r="168" spans="1:32" s="1644" customFormat="1" ht="11.55" customHeight="1">
      <c r="A168" s="990"/>
      <c s="1639"/>
      <c s="1639"/>
      <c s="354"/>
      <c r="K168" s="1163"/>
      <c s="1639"/>
      <c s="1639"/>
      <c s="1163"/>
      <c s="1163"/>
      <c s="1163"/>
      <c s="1163"/>
      <c s="1639"/>
      <c s="1163"/>
      <c s="1163"/>
      <c s="547"/>
      <c s="1163"/>
      <c s="1163"/>
      <c s="1163"/>
      <c s="1163"/>
      <c s="1163"/>
      <c s="1635"/>
      <c s="569"/>
      <c s="569"/>
      <c s="569"/>
      <c s="569"/>
      <c s="1644">
        <v>11</v>
      </c>
    </row>
    <row r="169" spans="1:32" s="1644" customFormat="1" ht="11.55" customHeight="1">
      <c r="A169" s="990"/>
      <c s="1639"/>
      <c s="1639"/>
      <c s="354"/>
      <c r="K169" s="1163"/>
      <c s="1639"/>
      <c s="1639"/>
      <c s="1163"/>
      <c s="1163"/>
      <c s="1163"/>
      <c s="1163"/>
      <c s="1639"/>
      <c s="1163"/>
      <c s="1163"/>
      <c s="547"/>
      <c s="1163"/>
      <c s="1163"/>
      <c s="1163"/>
      <c s="1163"/>
      <c s="1163"/>
      <c s="1635"/>
      <c s="569"/>
      <c s="569"/>
      <c s="569"/>
      <c s="569"/>
      <c s="1644">
        <v>11</v>
      </c>
    </row>
    <row r="170" spans="1:32" s="1644" customFormat="1" ht="11.55" customHeight="1">
      <c r="A170" s="990"/>
      <c s="1639"/>
      <c s="1639"/>
      <c s="354"/>
      <c r="K170" s="1163"/>
      <c s="1639"/>
      <c s="1639"/>
      <c s="1163"/>
      <c s="1163"/>
      <c s="1163"/>
      <c s="1163"/>
      <c s="1639"/>
      <c s="1163"/>
      <c s="1163"/>
      <c s="547"/>
      <c s="1163"/>
      <c s="1163"/>
      <c s="1163"/>
      <c s="1163"/>
      <c s="1163"/>
      <c s="1635"/>
      <c s="569"/>
      <c s="569"/>
      <c s="569"/>
      <c s="569"/>
      <c s="1644">
        <v>11</v>
      </c>
    </row>
    <row r="171" spans="1:32" s="1644" customFormat="1" ht="11.55" customHeight="1">
      <c r="A171" s="990"/>
      <c s="1639"/>
      <c s="1639"/>
      <c s="354"/>
      <c r="K171" s="1163"/>
      <c s="1639"/>
      <c s="1639"/>
      <c s="1163"/>
      <c s="1163"/>
      <c s="1163"/>
      <c s="1163"/>
      <c s="1639"/>
      <c s="1163"/>
      <c s="1163"/>
      <c s="547"/>
      <c s="1163"/>
      <c s="1163"/>
      <c s="1163"/>
      <c s="1163"/>
      <c s="1163"/>
      <c s="1635"/>
      <c s="569"/>
      <c s="569"/>
      <c s="569"/>
      <c s="569"/>
      <c s="1644">
        <v>11</v>
      </c>
    </row>
    <row r="172" spans="1:32" s="1644" customFormat="1" ht="11.55" customHeight="1">
      <c r="A172" s="990"/>
      <c s="1639"/>
      <c s="1639"/>
      <c s="354"/>
      <c r="K172" s="1163"/>
      <c s="1639"/>
      <c s="1639"/>
      <c s="1163"/>
      <c s="1163"/>
      <c s="1163"/>
      <c s="1163"/>
      <c s="1639"/>
      <c s="1163"/>
      <c s="1163"/>
      <c s="547"/>
      <c s="1163"/>
      <c s="1163"/>
      <c s="1163"/>
      <c s="1163"/>
      <c s="1163"/>
      <c s="1635"/>
      <c s="569"/>
      <c s="569"/>
      <c s="569"/>
      <c s="569"/>
      <c s="1644">
        <v>11</v>
      </c>
    </row>
    <row r="173" spans="1:32" s="1644" customFormat="1" ht="11.55" customHeight="1">
      <c r="A173" s="990"/>
      <c s="1639"/>
      <c s="1639"/>
      <c s="354"/>
      <c r="K173" s="1163"/>
      <c s="1639"/>
      <c s="1639"/>
      <c s="1163"/>
      <c s="1163"/>
      <c s="1163"/>
      <c s="1163"/>
      <c s="1639"/>
      <c s="1163"/>
      <c s="1163"/>
      <c s="547"/>
      <c s="1163"/>
      <c s="1163"/>
      <c s="1163"/>
      <c s="1163"/>
      <c s="1163"/>
      <c s="1635"/>
      <c s="569"/>
      <c s="569"/>
      <c s="569"/>
      <c s="569"/>
      <c s="1644">
        <v>11</v>
      </c>
    </row>
    <row r="174" spans="1:32" s="1644" customFormat="1" ht="11.55" customHeight="1">
      <c r="A174" s="990"/>
      <c s="1639"/>
      <c s="1639"/>
      <c s="354"/>
      <c r="K174" s="1163"/>
      <c s="1639"/>
      <c s="1639"/>
      <c s="1163"/>
      <c s="1163"/>
      <c s="1163"/>
      <c s="1163"/>
      <c s="1639"/>
      <c s="1163"/>
      <c s="1163"/>
      <c s="547"/>
      <c s="1163"/>
      <c s="1163"/>
      <c s="1163"/>
      <c s="1163"/>
      <c s="1163"/>
      <c s="1635"/>
      <c s="569"/>
      <c s="569"/>
      <c s="569"/>
      <c s="569"/>
      <c s="1644">
        <v>11</v>
      </c>
    </row>
    <row r="175" spans="1:32" s="1644" customFormat="1" ht="11.55" customHeight="1">
      <c r="A175" s="990"/>
      <c s="1639"/>
      <c s="1639"/>
      <c s="354"/>
      <c r="K175" s="1163"/>
      <c s="1639"/>
      <c s="1639"/>
      <c s="1163"/>
      <c s="1163"/>
      <c s="1163"/>
      <c s="1163"/>
      <c s="1639"/>
      <c s="1163"/>
      <c s="1163"/>
      <c s="547"/>
      <c s="1163"/>
      <c s="1163"/>
      <c s="1163"/>
      <c s="1163"/>
      <c s="1163"/>
      <c s="1635"/>
      <c s="569"/>
      <c s="569"/>
      <c s="569"/>
      <c s="569"/>
      <c s="1644">
        <v>11</v>
      </c>
    </row>
    <row r="176" spans="1:32" s="1644" customFormat="1" ht="11.55" customHeight="1">
      <c r="A176" s="990"/>
      <c s="1639"/>
      <c s="1639"/>
      <c s="354"/>
      <c r="K176" s="1163"/>
      <c s="1639"/>
      <c s="1639"/>
      <c s="1163"/>
      <c s="1163"/>
      <c s="1163"/>
      <c s="1163"/>
      <c s="1639"/>
      <c s="1163"/>
      <c s="1163"/>
      <c s="547"/>
      <c s="1163"/>
      <c s="1163"/>
      <c s="1163"/>
      <c s="1163"/>
      <c s="1163"/>
      <c s="1635"/>
      <c s="569"/>
      <c s="569"/>
      <c s="569"/>
      <c s="569"/>
      <c s="1644">
        <v>11</v>
      </c>
    </row>
    <row r="177" spans="1:32" s="1644" customFormat="1" ht="11.55" customHeight="1">
      <c r="A177" s="990"/>
      <c s="1639"/>
      <c s="1639"/>
      <c s="354"/>
      <c r="K177" s="1163"/>
      <c s="1639"/>
      <c s="1639"/>
      <c s="1163"/>
      <c s="1163"/>
      <c s="1163"/>
      <c s="1163"/>
      <c s="1639"/>
      <c s="1163"/>
      <c s="1163"/>
      <c s="547"/>
      <c s="1163"/>
      <c s="1163"/>
      <c s="1163"/>
      <c s="1163"/>
      <c s="1163"/>
      <c s="1635"/>
      <c s="569"/>
      <c s="569"/>
      <c s="569"/>
      <c s="569"/>
      <c s="1644">
        <v>11</v>
      </c>
    </row>
    <row r="178" spans="1:32" s="1644" customFormat="1" ht="11.55" customHeight="1">
      <c r="A178" s="990"/>
      <c s="1639"/>
      <c s="1639"/>
      <c s="354"/>
      <c r="K178" s="1163"/>
      <c s="1639"/>
      <c s="1639"/>
      <c s="1163"/>
      <c s="1163"/>
      <c s="1163"/>
      <c s="1163"/>
      <c s="1639"/>
      <c s="1163"/>
      <c s="1163"/>
      <c s="547"/>
      <c s="1163"/>
      <c s="1163"/>
      <c s="1163"/>
      <c s="1163"/>
      <c s="1163"/>
      <c s="1635"/>
      <c s="569"/>
      <c s="569"/>
      <c s="569"/>
      <c s="569"/>
      <c s="1644">
        <v>11</v>
      </c>
    </row>
    <row r="179" spans="1:32" s="1644" customFormat="1" ht="11.55" customHeight="1">
      <c r="A179" s="990"/>
      <c s="1639"/>
      <c s="1639"/>
      <c s="354"/>
      <c r="K179" s="1163"/>
      <c s="1639"/>
      <c s="1639"/>
      <c s="1163"/>
      <c s="1163"/>
      <c s="1163"/>
      <c s="1163"/>
      <c s="1639"/>
      <c s="1163"/>
      <c s="1163"/>
      <c s="547"/>
      <c s="1163"/>
      <c s="1163"/>
      <c s="1163"/>
      <c s="1163"/>
      <c s="1163"/>
      <c s="1635"/>
      <c s="569"/>
      <c s="569"/>
      <c s="569"/>
      <c s="569"/>
      <c s="1644">
        <v>11</v>
      </c>
    </row>
    <row r="180" spans="1:32" s="1644" customFormat="1" ht="11.55" customHeight="1">
      <c r="A180" s="990"/>
      <c s="1639"/>
      <c s="1639"/>
      <c s="354"/>
      <c r="K180" s="1163"/>
      <c s="1639"/>
      <c s="1639"/>
      <c s="1163"/>
      <c s="1163"/>
      <c s="1163"/>
      <c s="1163"/>
      <c s="1639"/>
      <c s="1163"/>
      <c s="1163"/>
      <c s="547"/>
      <c s="1163"/>
      <c s="1163"/>
      <c s="1163"/>
      <c s="1163"/>
      <c s="1163"/>
      <c s="1635"/>
      <c s="569"/>
      <c s="569"/>
      <c s="569"/>
      <c s="569"/>
      <c s="1644">
        <v>11</v>
      </c>
    </row>
    <row r="181" spans="1:32" s="1644" customFormat="1" ht="11.55" customHeight="1">
      <c r="A181" s="990"/>
      <c s="1639"/>
      <c s="1639"/>
      <c s="354"/>
      <c r="K181" s="1163"/>
      <c s="1639"/>
      <c s="1639"/>
      <c s="1163"/>
      <c s="1163"/>
      <c s="1163"/>
      <c s="1163"/>
      <c s="1639"/>
      <c s="1163"/>
      <c s="1163"/>
      <c s="547"/>
      <c s="1163"/>
      <c s="1163"/>
      <c s="1163"/>
      <c s="1163"/>
      <c s="1163"/>
      <c s="1635"/>
      <c s="569"/>
      <c s="569"/>
      <c s="569"/>
      <c s="569"/>
      <c s="1644">
        <v>11</v>
      </c>
    </row>
    <row r="182" spans="1:32" s="1644" customFormat="1" ht="11.55" customHeight="1">
      <c r="A182" s="990"/>
      <c s="1639"/>
      <c s="1639"/>
      <c s="354"/>
      <c r="K182" s="1163"/>
      <c s="1639"/>
      <c s="1639"/>
      <c s="1163"/>
      <c s="1163"/>
      <c s="1163"/>
      <c s="1163"/>
      <c s="1639"/>
      <c s="1163"/>
      <c s="1163"/>
      <c s="547"/>
      <c s="1163"/>
      <c s="1163"/>
      <c s="1163"/>
      <c s="1163"/>
      <c s="1163"/>
      <c s="1635"/>
      <c s="569"/>
      <c s="569"/>
      <c s="569"/>
      <c s="569"/>
      <c s="1644">
        <v>11</v>
      </c>
    </row>
    <row r="183" spans="1:32" s="1644" customFormat="1" ht="11.55" customHeight="1">
      <c r="A183" s="990"/>
      <c s="1639"/>
      <c s="1639"/>
      <c s="354"/>
      <c r="K183" s="1163"/>
      <c s="1639"/>
      <c s="1639"/>
      <c s="1163"/>
      <c s="1163"/>
      <c s="1163"/>
      <c s="1163"/>
      <c s="1639"/>
      <c s="1163"/>
      <c s="1163"/>
      <c s="547"/>
      <c s="1163"/>
      <c s="1163"/>
      <c s="1163"/>
      <c s="1163"/>
      <c s="1163"/>
      <c s="1635"/>
      <c s="569"/>
      <c s="569"/>
      <c s="569"/>
      <c s="569"/>
      <c s="1644">
        <v>11</v>
      </c>
    </row>
    <row r="184" spans="1:32" s="1644" customFormat="1" ht="11.55" customHeight="1">
      <c r="A184" s="990"/>
      <c s="1639"/>
      <c s="1639"/>
      <c s="354"/>
      <c r="K184" s="1163"/>
      <c s="1639"/>
      <c s="1639"/>
      <c s="1163"/>
      <c s="1163"/>
      <c s="1163"/>
      <c s="1163"/>
      <c s="1639"/>
      <c s="1163"/>
      <c s="1163"/>
      <c s="547"/>
      <c s="1163"/>
      <c s="1163"/>
      <c s="1163"/>
      <c s="1163"/>
      <c s="1163"/>
      <c s="1635"/>
      <c s="569"/>
      <c s="569"/>
      <c s="569"/>
      <c s="569"/>
      <c s="1644">
        <v>11</v>
      </c>
    </row>
    <row r="185" spans="1:32" s="1644" customFormat="1" ht="11.55" customHeight="1">
      <c r="A185" s="990"/>
      <c s="1639"/>
      <c s="1639"/>
      <c s="354"/>
      <c r="K185" s="1163"/>
      <c s="1639"/>
      <c s="1639"/>
      <c s="1163"/>
      <c s="1163"/>
      <c s="1163"/>
      <c s="1163"/>
      <c s="1639"/>
      <c s="1163"/>
      <c s="1163"/>
      <c s="547"/>
      <c s="1163"/>
      <c s="1163"/>
      <c s="1163"/>
      <c s="1163"/>
      <c s="1163"/>
      <c s="1635"/>
      <c s="569"/>
      <c s="569"/>
      <c s="569"/>
      <c s="569"/>
      <c s="1644">
        <v>11</v>
      </c>
    </row>
    <row r="186" spans="1:32" s="1644" customFormat="1" ht="11.55" customHeight="1">
      <c r="A186" s="990"/>
      <c s="1639"/>
      <c s="1639"/>
      <c s="354"/>
      <c r="K186" s="1163"/>
      <c s="1639"/>
      <c s="1639"/>
      <c s="1163"/>
      <c s="1163"/>
      <c s="1163"/>
      <c s="1163"/>
      <c s="1639"/>
      <c s="1163"/>
      <c s="1163"/>
      <c s="547"/>
      <c s="1163"/>
      <c s="1163"/>
      <c s="1163"/>
      <c s="1163"/>
      <c s="1163"/>
      <c s="1635"/>
      <c s="569"/>
      <c s="569"/>
      <c s="569"/>
      <c s="569"/>
      <c s="1644">
        <v>11</v>
      </c>
    </row>
    <row r="187" spans="1:32" s="1644" customFormat="1" ht="11.55" customHeight="1">
      <c r="A187" s="990"/>
      <c s="1639"/>
      <c s="1639"/>
      <c s="354"/>
      <c r="K187" s="1163"/>
      <c s="1639"/>
      <c s="1639"/>
      <c s="1163"/>
      <c s="1163"/>
      <c s="1163"/>
      <c s="1163"/>
      <c s="1639"/>
      <c s="1163"/>
      <c s="1163"/>
      <c s="547"/>
      <c s="1163"/>
      <c s="1163"/>
      <c s="1163"/>
      <c s="1163"/>
      <c s="1163"/>
      <c s="1635"/>
      <c s="569"/>
      <c s="569"/>
      <c s="569"/>
      <c s="569"/>
      <c s="1644">
        <v>11</v>
      </c>
    </row>
    <row r="188" spans="1:32" s="1644" customFormat="1" ht="11.55" customHeight="1">
      <c r="A188" s="990"/>
      <c s="1639"/>
      <c s="1639"/>
      <c s="354"/>
      <c r="K188" s="1163"/>
      <c s="1639"/>
      <c s="1639"/>
      <c s="1163"/>
      <c s="1163"/>
      <c s="1163"/>
      <c s="1163"/>
      <c s="1639"/>
      <c s="1163"/>
      <c s="1163"/>
      <c s="547"/>
      <c s="1163"/>
      <c s="1163"/>
      <c s="1163"/>
      <c s="1163"/>
      <c s="1163"/>
      <c s="1635"/>
      <c s="569"/>
      <c s="569"/>
      <c s="569"/>
      <c s="569"/>
      <c s="1644">
        <v>11</v>
      </c>
    </row>
    <row r="189" spans="1:32" s="1644" customFormat="1" ht="11.55" customHeight="1">
      <c r="A189" s="990"/>
      <c s="1639"/>
      <c s="1639"/>
      <c s="354"/>
      <c r="K189" s="1163"/>
      <c s="1639"/>
      <c s="1639"/>
      <c s="1163"/>
      <c s="1163"/>
      <c s="1163"/>
      <c s="1163"/>
      <c s="1639"/>
      <c s="1163"/>
      <c s="1163"/>
      <c s="547"/>
      <c s="1163"/>
      <c s="1163"/>
      <c s="1163"/>
      <c s="1163"/>
      <c s="1163"/>
      <c s="1635"/>
      <c s="569"/>
      <c s="569"/>
      <c s="569"/>
      <c s="569"/>
      <c s="1644">
        <v>11</v>
      </c>
    </row>
    <row r="190" spans="1:32" s="1644" customFormat="1" ht="11.55" customHeight="1">
      <c r="A190" s="990"/>
      <c s="1639"/>
      <c s="1639"/>
      <c s="354"/>
      <c r="K190" s="1163"/>
      <c s="1639"/>
      <c s="1639"/>
      <c s="1163"/>
      <c s="1163"/>
      <c s="1163"/>
      <c s="1163"/>
      <c s="1639"/>
      <c s="1163"/>
      <c s="1163"/>
      <c s="547"/>
      <c s="1163"/>
      <c s="1163"/>
      <c s="1163"/>
      <c s="1163"/>
      <c s="1163"/>
      <c s="1635"/>
      <c s="569"/>
      <c s="569"/>
      <c s="569"/>
      <c s="569"/>
      <c s="1644">
        <v>11</v>
      </c>
    </row>
    <row r="191" spans="1:32" s="1644" customFormat="1" ht="11.55" customHeight="1">
      <c r="A191" s="990"/>
      <c s="1639"/>
      <c s="1639"/>
      <c s="354"/>
      <c r="K191" s="1163"/>
      <c s="1639"/>
      <c s="1639"/>
      <c s="1163"/>
      <c s="1163"/>
      <c s="1163"/>
      <c s="1163"/>
      <c s="1639"/>
      <c s="1163"/>
      <c s="1163"/>
      <c s="547"/>
      <c s="1163"/>
      <c s="1163"/>
      <c s="1163"/>
      <c s="1163"/>
      <c s="1163"/>
      <c s="1635"/>
      <c s="569"/>
      <c s="569"/>
      <c s="569"/>
      <c s="569"/>
      <c s="1644">
        <v>11</v>
      </c>
    </row>
    <row r="192" spans="1:32" s="1644" customFormat="1" ht="11.55" customHeight="1">
      <c r="A192" s="990"/>
      <c s="1639"/>
      <c s="1639"/>
      <c s="354"/>
      <c r="K192" s="1163"/>
      <c s="1639"/>
      <c s="1639"/>
      <c s="1163"/>
      <c s="1163"/>
      <c s="1163"/>
      <c s="1163"/>
      <c s="1639"/>
      <c s="1163"/>
      <c s="1163"/>
      <c s="547"/>
      <c s="1163"/>
      <c s="1163"/>
      <c s="1163"/>
      <c s="1163"/>
      <c s="1163"/>
      <c s="1635"/>
      <c s="569"/>
      <c s="569"/>
      <c s="569"/>
      <c s="569"/>
      <c s="1644">
        <v>11</v>
      </c>
    </row>
    <row r="193" spans="1:32" s="1644" customFormat="1" ht="11.55" customHeight="1">
      <c r="A193" s="990"/>
      <c s="1639"/>
      <c s="1639"/>
      <c s="354"/>
      <c r="K193" s="1163"/>
      <c s="1639"/>
      <c s="1639"/>
      <c s="1163"/>
      <c s="1163"/>
      <c s="1163"/>
      <c s="1163"/>
      <c s="1639"/>
      <c s="1163"/>
      <c s="1163"/>
      <c s="547"/>
      <c s="1163"/>
      <c s="1163"/>
      <c s="1163"/>
      <c s="1163"/>
      <c s="1163"/>
      <c s="1635"/>
      <c s="569"/>
      <c s="569"/>
      <c s="569"/>
      <c s="569"/>
      <c s="1644">
        <v>11</v>
      </c>
    </row>
    <row r="194" spans="1:32" s="1644" customFormat="1" ht="11.55" customHeight="1">
      <c r="A194" s="990"/>
      <c s="1639"/>
      <c s="1639"/>
      <c s="354"/>
      <c r="K194" s="1163"/>
      <c s="1639"/>
      <c s="1639"/>
      <c s="1163"/>
      <c s="1163"/>
      <c s="1163"/>
      <c s="1163"/>
      <c s="1639"/>
      <c s="1163"/>
      <c s="1163"/>
      <c s="547"/>
      <c s="1163"/>
      <c s="1163"/>
      <c s="1163"/>
      <c s="1163"/>
      <c s="1163"/>
      <c s="1635"/>
      <c s="569"/>
      <c s="569"/>
      <c s="569"/>
      <c s="569"/>
      <c s="1644">
        <v>11</v>
      </c>
    </row>
    <row r="195" spans="1:32" s="1644" customFormat="1" ht="11.55" customHeight="1">
      <c r="A195" s="990"/>
      <c s="1639"/>
      <c s="1639"/>
      <c s="354"/>
      <c r="K195" s="1163"/>
      <c s="1639"/>
      <c s="1639"/>
      <c s="1163"/>
      <c s="1163"/>
      <c s="1163"/>
      <c s="1163"/>
      <c s="1639"/>
      <c s="1163"/>
      <c s="1163"/>
      <c s="547"/>
      <c s="1163"/>
      <c s="1163"/>
      <c s="1163"/>
      <c s="1163"/>
      <c s="1163"/>
      <c s="1635"/>
      <c s="569"/>
      <c s="569"/>
      <c s="569"/>
      <c s="569"/>
      <c s="1644">
        <v>11</v>
      </c>
    </row>
    <row r="196" spans="32:32" ht="11.55" customHeight="1">
      <c r="AF196" s="1634">
        <v>11</v>
      </c>
    </row>
    <row r="197" spans="32:32" ht="11.55" customHeight="1">
      <c r="AF197" s="1634">
        <v>11</v>
      </c>
    </row>
    <row r="198" spans="32:32" ht="11.55" customHeight="1">
      <c r="AF198" s="1634">
        <v>11</v>
      </c>
    </row>
    <row r="199" spans="1:32" ht="11.55" customHeight="1">
      <c r="A199" s="993"/>
      <c s="1634"/>
      <c r="D199" s="1634"/>
      <c r="K199" s="1634"/>
      <c r="N199" s="1634"/>
      <c s="1634"/>
      <c s="1634"/>
      <c s="1634"/>
      <c r="S199" s="1634"/>
      <c s="1634"/>
      <c s="1634"/>
      <c s="1634"/>
      <c s="1634"/>
      <c s="1634"/>
      <c s="1634"/>
      <c s="1634"/>
      <c s="1634"/>
      <c s="1634"/>
      <c s="1634"/>
      <c s="1634"/>
      <c s="1634"/>
      <c s="1634">
        <v>11</v>
      </c>
    </row>
    <row r="200" spans="1:32" ht="11.55" customHeight="1">
      <c r="A200" s="993"/>
      <c s="1634"/>
      <c r="D200" s="1634"/>
      <c r="K200" s="1634"/>
      <c r="N200" s="1634"/>
      <c s="1634"/>
      <c s="1634"/>
      <c s="1634"/>
      <c r="S200" s="1634"/>
      <c s="1634"/>
      <c s="1634"/>
      <c s="1634"/>
      <c s="1634"/>
      <c s="1634"/>
      <c s="1634"/>
      <c s="1634"/>
      <c s="1634"/>
      <c s="1634"/>
      <c s="1634"/>
      <c s="1634"/>
      <c s="1634"/>
      <c s="1634">
        <v>11</v>
      </c>
    </row>
    <row r="201" spans="1:32" ht="11.55" customHeight="1">
      <c r="A201" s="993"/>
      <c s="1634"/>
      <c r="D201" s="1634"/>
      <c r="K201" s="1634"/>
      <c r="N201" s="1634"/>
      <c s="1634"/>
      <c s="1634"/>
      <c s="1634"/>
      <c r="S201" s="1634"/>
      <c s="1634"/>
      <c s="1634"/>
      <c s="1634"/>
      <c s="1634"/>
      <c s="1634"/>
      <c s="1634"/>
      <c s="1634"/>
      <c s="1634"/>
      <c s="1634"/>
      <c s="1634"/>
      <c s="1634"/>
      <c s="1634"/>
      <c s="1634">
        <v>11</v>
      </c>
    </row>
    <row r="202" spans="1:32" ht="11.55" customHeight="1">
      <c r="A202" s="993"/>
      <c s="1634"/>
      <c r="D202" s="1634"/>
      <c r="K202" s="1634"/>
      <c r="N202" s="1634"/>
      <c s="1634"/>
      <c s="1634"/>
      <c s="1634"/>
      <c r="S202" s="1634"/>
      <c s="1634"/>
      <c s="1634"/>
      <c s="1634"/>
      <c s="1634"/>
      <c s="1634"/>
      <c s="1634"/>
      <c s="1634"/>
      <c s="1634"/>
      <c s="1634"/>
      <c s="1634"/>
      <c s="1634"/>
      <c s="1634"/>
      <c s="1634">
        <v>11</v>
      </c>
    </row>
    <row r="203" spans="1:32" ht="11.55" customHeight="1">
      <c r="A203" s="993"/>
      <c s="1634"/>
      <c r="D203" s="1634"/>
      <c r="K203" s="1634"/>
      <c r="N203" s="1634"/>
      <c s="1634"/>
      <c s="1634"/>
      <c s="1634"/>
      <c r="S203" s="1634"/>
      <c s="1634"/>
      <c s="1634"/>
      <c s="1634"/>
      <c s="1634"/>
      <c s="1634"/>
      <c s="1634"/>
      <c s="1634"/>
      <c s="1634"/>
      <c s="1634"/>
      <c s="1634"/>
      <c s="1634"/>
      <c s="1634"/>
      <c s="1634">
        <v>11</v>
      </c>
    </row>
    <row r="204" spans="1:32" ht="11.55" customHeight="1">
      <c r="A204" s="993"/>
      <c s="1634"/>
      <c r="D204" s="1634"/>
      <c r="K204" s="1634"/>
      <c r="N204" s="1634"/>
      <c s="1634"/>
      <c s="1634"/>
      <c s="1634"/>
      <c r="S204" s="1634"/>
      <c s="1634"/>
      <c s="1634"/>
      <c s="1634"/>
      <c s="1634"/>
      <c s="1634"/>
      <c s="1634"/>
      <c s="1634"/>
      <c s="1634"/>
      <c s="1634"/>
      <c s="1634"/>
      <c s="1634"/>
      <c s="1634"/>
      <c s="1634">
        <v>11</v>
      </c>
    </row>
    <row r="205" spans="1:32" ht="11.55" customHeight="1">
      <c r="A205" s="993"/>
      <c s="1634"/>
      <c r="D205" s="1634"/>
      <c r="K205" s="1634"/>
      <c r="N205" s="1634"/>
      <c s="1634"/>
      <c s="1634"/>
      <c s="1634"/>
      <c r="S205" s="1634"/>
      <c s="1634"/>
      <c s="1634"/>
      <c s="1634"/>
      <c s="1634"/>
      <c s="1634"/>
      <c s="1634"/>
      <c s="1634"/>
      <c s="1634"/>
      <c s="1634"/>
      <c s="1634"/>
      <c s="1634"/>
      <c s="1634"/>
      <c s="1634">
        <v>11</v>
      </c>
    </row>
    <row r="206" spans="1:32" ht="11.55" customHeight="1">
      <c r="A206" s="993"/>
      <c s="1634"/>
      <c r="D206" s="1634"/>
      <c r="K206" s="1634"/>
      <c r="N206" s="1634"/>
      <c s="1634"/>
      <c s="1634"/>
      <c s="1634"/>
      <c r="S206" s="1634"/>
      <c s="1634"/>
      <c s="1634"/>
      <c s="1634"/>
      <c s="1634"/>
      <c s="1634"/>
      <c s="1634"/>
      <c s="1634"/>
      <c s="1634"/>
      <c s="1634"/>
      <c s="1634"/>
      <c s="1634"/>
      <c s="1634"/>
      <c s="1634">
        <v>11</v>
      </c>
    </row>
    <row r="207" spans="1:32" ht="11.55" customHeight="1">
      <c r="A207" s="993"/>
      <c s="1634"/>
      <c r="D207" s="1634"/>
      <c r="K207" s="1634"/>
      <c r="N207" s="1634"/>
      <c s="1634"/>
      <c s="1634"/>
      <c s="1634"/>
      <c r="S207" s="1634"/>
      <c s="1634"/>
      <c s="1634"/>
      <c s="1634"/>
      <c s="1634"/>
      <c s="1634"/>
      <c s="1634"/>
      <c s="1634"/>
      <c s="1634"/>
      <c s="1634"/>
      <c s="1634"/>
      <c s="1634"/>
      <c s="1634"/>
      <c s="1634">
        <v>11</v>
      </c>
    </row>
    <row r="208" spans="1:32" ht="11.55" customHeight="1">
      <c r="A208" s="993"/>
      <c s="1634"/>
      <c r="D208" s="1634"/>
      <c r="K208" s="1634"/>
      <c r="N208" s="1634"/>
      <c s="1634"/>
      <c s="1634"/>
      <c s="1634"/>
      <c r="S208" s="1634"/>
      <c s="1634"/>
      <c s="1634"/>
      <c s="1634"/>
      <c s="1634"/>
      <c s="1634"/>
      <c s="1634"/>
      <c s="1634"/>
      <c s="1634"/>
      <c s="1634"/>
      <c s="1634"/>
      <c s="1634"/>
      <c s="1634"/>
      <c s="1634">
        <v>11</v>
      </c>
    </row>
    <row r="209" spans="1:32" ht="11.55" customHeight="1">
      <c r="A209" s="993"/>
      <c s="1634"/>
      <c r="D209" s="1634"/>
      <c r="K209" s="1634"/>
      <c r="N209" s="1634"/>
      <c s="1634"/>
      <c s="1634"/>
      <c s="1634"/>
      <c r="S209" s="1634"/>
      <c s="1634"/>
      <c s="1634"/>
      <c s="1634"/>
      <c s="1634"/>
      <c s="1634"/>
      <c s="1634"/>
      <c s="1634"/>
      <c s="1634"/>
      <c s="1634"/>
      <c s="1634"/>
      <c s="1634"/>
      <c s="1634"/>
      <c s="1634">
        <v>11</v>
      </c>
    </row>
    <row r="210" spans="1:32" ht="11.25" customHeight="1" hidden="1">
      <c r="A210" s="990" t="s">
        <v>81</v>
      </c>
      <c s="1163">
        <v>0</v>
      </c>
      <c s="1639">
        <v>0</v>
      </c>
      <c s="1638">
        <v>3</v>
      </c>
      <c s="1634">
        <v>7</v>
      </c>
      <c s="1634">
        <v>54</v>
      </c>
      <c s="1634">
        <v>10</v>
      </c>
      <c s="1634">
        <v>0</v>
      </c>
      <c s="1634">
        <v>40</v>
      </c>
      <c s="1634">
        <v>102</v>
      </c>
      <c s="1163">
        <v>9</v>
      </c>
      <c s="1639">
        <v>5</v>
      </c>
      <c s="1639">
        <v>3</v>
      </c>
      <c s="1163">
        <v>3</v>
      </c>
      <c s="1163">
        <v>3</v>
      </c>
      <c s="1163">
        <v>3</v>
      </c>
      <c s="1163">
        <v>3</v>
      </c>
      <c s="1639">
        <v>10</v>
      </c>
      <c s="1163">
        <v>34</v>
      </c>
      <c s="1163">
        <v>9</v>
      </c>
      <c s="547">
        <v>8</v>
      </c>
      <c s="1163">
        <v>8</v>
      </c>
      <c s="1163">
        <v>8</v>
      </c>
      <c s="1163">
        <v>8</v>
      </c>
      <c s="1163">
        <v>8</v>
      </c>
      <c s="1163">
        <v>8</v>
      </c>
      <c s="1635">
        <v>8</v>
      </c>
      <c s="1635">
        <v>8</v>
      </c>
      <c s="1635">
        <v>8</v>
      </c>
      <c s="1635">
        <v>8</v>
      </c>
      <c s="1635">
        <v>8</v>
      </c>
      <c s="1634">
        <v>11</v>
      </c>
    </row>
  </sheetData>
  <sheetProtection formatColumns="0" formatRows="0" insertRows="0" deleteColumns="0" deleteRows="0" sort="0" autoFilter="0"/>
  <mergeCells count="9">
    <mergeCell ref="F40:G40"/>
    <mergeCell ref="E6:I6"/>
    <mergeCell ref="E7:I7"/>
    <mergeCell ref="F10:G10"/>
    <mergeCell ref="J10:J14"/>
    <mergeCell ref="F11:G11"/>
    <mergeCell ref="F12:G12"/>
    <mergeCell ref="E13:G13"/>
    <mergeCell ref="F39:G39"/>
  </mergeCells>
  <dataValidations count="5">
    <dataValidation type="decimal" allowBlank="1" showErrorMessage="1" errorTitle="Ошибка" error="Допускается ввод только действительных чисел!" sqref="H32:I34">
      <formula1>-099999999999999900000000000000000000000</formula1>
      <formula2>9.99999999999999E+37</formula2>
    </dataValidation>
    <dataValidation type="decimal" allowBlank="1" showErrorMessage="1" errorTitle="Ошибка" error="Допускается ввод только действительных чисел!" sqref="H30:I30">
      <formula1>-0999999999999999000000000</formula1>
      <formula2>9.99999999999999E+23</formula2>
    </dataValidation>
    <dataValidation type="textLength" operator="lessThanOrEqual" allowBlank="1" showInputMessage="1" showErrorMessage="1" prompt="Введите ссылку на обосновывающие материалы, загруженные с помощью &quot;ЕИАС Web&quot;." errorTitle="Ошибка" error="Допускается ввод не более 900 символов!" sqref="H35:I35">
      <formula1>900</formula1>
    </dataValidation>
    <dataValidation type="decimal" allowBlank="1" showErrorMessage="1" errorTitle="Ошибка" error="Допускается ввод только неотрицательных чисел!" sqref="H2:I2 H31:I31 H15:I15 H17:I27 H36:I37">
      <formula1>0</formula1>
      <formula2>9.99999999999999E+23</formula2>
    </dataValidation>
    <dataValidation type="textLength" operator="lessThanOrEqual" allowBlank="1" showInputMessage="1" showErrorMessage="1" prompt="Введите наименование прочих расходов" errorTitle="Ошибка" error="Допускается ввод не более 900 символов!" sqref="H28:I28">
      <formula1>900</formula1>
    </dataValidation>
  </dataValidations>
  <pageMargins left="0.7" right="0.7" top="0.75" bottom="0.75" header="0.3" footer="0.3"/>
  <pageSetup orientation="portrait"/>
</worksheet>
</file>

<file path=xl/worksheets/sheet3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m="http://schemas.microsoft.com/office/excel/2006/main" xmlns:x14ac="http://schemas.microsoft.com/office/spreadsheetml/2009/9/ac" xmlns:xr="http://schemas.microsoft.com/office/spreadsheetml/2014/revision" xmlns:xr2="http://schemas.microsoft.com/office/spreadsheetml/2015/revision2" xmlns:xr3="http://schemas.microsoft.com/office/spreadsheetml/2016/revision3" xr:uid="{884C8BD9-A279-564B-1E3B-E6F9A773ECE8}" mc:Ignorable="x14ac xr xr2 xr3">
  <sheetPr>
    <tabColor theme="9" tint="-0.249980002641678"/>
  </sheetPr>
  <dimension ref="A1:X102"/>
  <sheetViews>
    <sheetView showGridLines="0" zoomScale="90" zoomScaleNormal="90" workbookViewId="0" topLeftCell="A1">
      <pane xSplit="8" ySplit="11" topLeftCell="I12" activePane="bottomRight" state="frozen"/>
      <selection pane="topLeft" activeCell="A1" sqref="A1"/>
      <selection pane="bottomLeft" activeCell="A12" sqref="A12"/>
      <selection pane="topRight" activeCell="I1" sqref="I1"/>
      <selection pane="bottomRight" activeCell="A1" sqref="A1"/>
    </sheetView>
  </sheetViews>
  <sheetFormatPr defaultColWidth="10.5742857142857" defaultRowHeight="11.25" customHeight="1"/>
  <cols>
    <col min="1" max="1" width="9.14285714285714" style="1169" hidden="1" customWidth="1"/>
    <col min="2" max="2" width="3.57142857142857" style="1645" hidden="1" customWidth="1"/>
    <col min="3" max="3" width="3" style="1638" customWidth="1"/>
    <col min="4" max="4" width="7" style="1638" customWidth="1"/>
    <col min="5" max="5" width="69" style="1638" customWidth="1"/>
    <col min="6" max="6" width="10" style="1638" customWidth="1"/>
    <col min="7" max="8" width="44" style="1638" hidden="1" customWidth="1"/>
    <col min="9" max="9" width="44" style="1638" customWidth="1"/>
    <col min="10" max="10" width="43" style="1638" customWidth="1"/>
    <col min="11" max="11" width="73" style="1638" customWidth="1"/>
    <col min="12" max="12" width="3" style="1638" customWidth="1"/>
    <col min="13" max="23" width="10" style="1638" customWidth="1"/>
    <col min="24" max="24" width="10.5714285714286" style="1638" hidden="1"/>
  </cols>
  <sheetData>
    <row r="1" spans="1:24" s="1369" customFormat="1" ht="22.5" customHeight="1" hidden="1">
      <c r="A1" s="539"/>
      <c s="514"/>
      <c r="G1" s="420">
        <v>4</v>
      </c>
      <c r="I1" s="420">
        <v>4</v>
      </c>
      <c r="K1" s="420">
        <v>5</v>
      </c>
      <c r="X1" s="420" t="s">
        <v>14</v>
      </c>
    </row>
    <row r="2" spans="24:24" ht="3" customHeight="1">
      <c r="X2" s="508">
        <v>3</v>
      </c>
    </row>
    <row r="3" spans="4:24" ht="78.75" customHeight="1">
      <c r="D3" s="2241" t="str">
        <f>KNE_NAME_FORM</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s="2242"/>
      <c s="2243"/>
      <c r="X3" s="508">
        <v>75</v>
      </c>
    </row>
    <row r="4" spans="1:24" s="1638" customFormat="1" ht="21" customHeight="1">
      <c r="A4" s="954"/>
      <c s="514"/>
      <c r="D4" s="2217" t="str">
        <f>IF(org=0,"Не определено",org)</f>
        <v>ГУП КК "Кубаньводкомплекс"</v>
      </c>
      <c s="2218"/>
      <c s="2219"/>
      <c r="X4" s="761">
        <v>20</v>
      </c>
    </row>
    <row r="5" spans="3:24" ht="11.55" customHeight="1">
      <c r="C5" s="512"/>
      <c s="591"/>
      <c s="591"/>
      <c s="591"/>
      <c s="591"/>
      <c s="755"/>
      <c s="591"/>
      <c s="755"/>
      <c s="591"/>
      <c r="X5" s="508">
        <v>11</v>
      </c>
    </row>
    <row r="6" spans="3:24" ht="1.05" customHeight="1">
      <c r="C6" s="512"/>
      <c s="512"/>
      <c s="525"/>
      <c s="617"/>
      <c s="1025"/>
      <c s="1025"/>
      <c s="1025" t="s">
        <v>118</v>
      </c>
      <c s="1025"/>
      <c r="X6" s="508">
        <v>1</v>
      </c>
    </row>
    <row r="7" spans="4:24" ht="11.55" customHeight="1">
      <c r="D7" s="714"/>
      <c s="2370" t="s">
        <v>105</v>
      </c>
      <c s="2371"/>
      <c s="2396" t="str">
        <f>IF(G6="","",INDEX(DIFFERENTIATION_UNMERGE_VD,MATCH(G6,DIFFERENTIATION_ID_DIFF,0)))</f>
        <v/>
      </c>
      <c s="2397"/>
      <c s="2396" t="str">
        <f>IF(I6="","",INDEX(DIFFERENTIATION_UNMERGE_VD,MATCH(I6,DIFFERENTIATION_ID_DIFF,0)))</f>
        <v>Водоотведение; Транспортировка; Подключение (технологическое присоединение) к централизованной системе водоотведения</v>
      </c>
      <c s="2397"/>
      <c s="2178"/>
      <c s="512"/>
      <c r="X7" s="508">
        <v>11</v>
      </c>
    </row>
    <row r="8" spans="1:24" ht="11.55" customHeight="1">
      <c r="A8" s="707"/>
      <c r="D8" s="714"/>
      <c s="2370" t="s">
        <v>564</v>
      </c>
      <c s="2371"/>
      <c s="2396" t="str">
        <f>IF(G6="","",INDEX(DIFFERENTIATION_UNMERGE_AREA,MATCH(G6,DIFFERENTIATION_ID_DIFF,0)))</f>
        <v/>
      </c>
      <c s="2397"/>
      <c s="2396" t="str">
        <f>IF(I6="","",INDEX(DIFFERENTIATION_UNMERGE_AREA,MATCH(I6,DIFFERENTIATION_ID_DIFF,0)))</f>
        <v>Территория 1</v>
      </c>
      <c s="2397"/>
      <c s="2202"/>
      <c s="512"/>
      <c r="X8" s="508">
        <v>11</v>
      </c>
    </row>
    <row r="9" spans="1:24" ht="11.55" customHeight="1">
      <c r="A9" s="707"/>
      <c r="D9" s="714"/>
      <c s="2370" t="s">
        <v>565</v>
      </c>
      <c s="2371"/>
      <c s="2396" t="str">
        <f>IF(G6="","",INDEX(DIFFERENTIATION_UNMERGE_SYSTEM,MATCH(G6,DIFFERENTIATION_ID_DIFF,0)))</f>
        <v/>
      </c>
      <c s="2397"/>
      <c s="2396" t="str">
        <f>IF(I6="","",INDEX(DIFFERENTIATION_UNMERGE_SYSTEM,MATCH(I6,DIFFERENTIATION_ID_DIFF,0)))</f>
        <v>Ейский групповой водопровод (разводящие сети)</v>
      </c>
      <c s="2397"/>
      <c s="2202"/>
      <c s="512"/>
      <c r="X9" s="508">
        <v>11</v>
      </c>
    </row>
    <row r="10" spans="1:24" s="1638" customFormat="1" ht="11.55" customHeight="1">
      <c r="A10" s="1024"/>
      <c s="514"/>
      <c r="D10" s="2104" t="s">
        <v>300</v>
      </c>
      <c s="2105"/>
      <c s="2105"/>
      <c s="2105"/>
      <c s="2105"/>
      <c s="2105"/>
      <c s="2106"/>
      <c s="2202"/>
      <c s="512"/>
      <c r="X10" s="761">
        <v>11</v>
      </c>
    </row>
    <row r="11" spans="1:24" s="1638" customFormat="1" ht="24" customHeight="1">
      <c r="A11" s="2388"/>
      <c s="2388"/>
      <c s="660"/>
      <c s="706" t="s">
        <v>87</v>
      </c>
      <c s="708" t="s">
        <v>807</v>
      </c>
      <c s="708" t="s">
        <v>566</v>
      </c>
      <c s="468" t="s">
        <v>303</v>
      </c>
      <c s="468" t="s">
        <v>390</v>
      </c>
      <c s="810" t="s">
        <v>303</v>
      </c>
      <c s="811" t="s">
        <v>390</v>
      </c>
      <c s="2235"/>
      <c s="661"/>
      <c r="X11" s="512">
        <v>23</v>
      </c>
    </row>
    <row r="12" spans="1:24" s="1645" customFormat="1" ht="10.5" customHeight="1">
      <c r="A12" s="955"/>
      <c r="D12" s="1028" t="s">
        <v>109</v>
      </c>
      <c s="1028" t="s">
        <v>110</v>
      </c>
      <c s="1028" t="s">
        <v>89</v>
      </c>
      <c s="1029" t="str">
        <f>G1&amp;".1"</f>
        <v>4.1</v>
      </c>
      <c s="1029" t="str">
        <f>G1&amp;".2"</f>
        <v>4.2</v>
      </c>
      <c s="1029" t="str">
        <f>I1&amp;".1"</f>
        <v>4.1</v>
      </c>
      <c s="1029" t="str">
        <f>I1&amp;".2"</f>
        <v>4.2</v>
      </c>
      <c s="1029"/>
      <c r="X12" s="514">
        <v>10</v>
      </c>
    </row>
    <row r="13" spans="1:24" ht="22.5" customHeight="1" hidden="1">
      <c r="A13" s="2395" t="s">
        <v>808</v>
      </c>
      <c r="D13" s="956" t="s">
        <v>109</v>
      </c>
      <c s="282" t="s">
        <v>809</v>
      </c>
      <c s="663" t="s">
        <v>810</v>
      </c>
      <c s="560"/>
      <c s="664"/>
      <c s="560"/>
      <c s="664"/>
      <c s="292" t="s">
        <v>811</v>
      </c>
      <c s="723"/>
      <c r="X13" s="508">
        <v>0</v>
      </c>
    </row>
    <row r="14" spans="1:24" ht="22.5" customHeight="1" hidden="1">
      <c r="A14" s="2395"/>
      <c r="D14" s="542" t="s">
        <v>110</v>
      </c>
      <c s="282" t="s">
        <v>812</v>
      </c>
      <c s="663" t="s">
        <v>813</v>
      </c>
      <c s="560"/>
      <c s="665"/>
      <c s="560"/>
      <c s="665"/>
      <c s="292" t="s">
        <v>814</v>
      </c>
      <c s="723"/>
      <c r="X14" s="508">
        <v>0</v>
      </c>
    </row>
    <row r="15" spans="1:24" s="1638" customFormat="1" ht="78.75" customHeight="1" hidden="1">
      <c r="A15" s="2395"/>
      <c s="514"/>
      <c r="D15" s="956" t="s">
        <v>89</v>
      </c>
      <c s="710" t="s">
        <v>815</v>
      </c>
      <c s="953" t="s">
        <v>306</v>
      </c>
      <c s="953" t="s">
        <v>306</v>
      </c>
      <c s="109"/>
      <c s="953" t="s">
        <v>306</v>
      </c>
      <c s="109"/>
      <c s="292" t="s">
        <v>816</v>
      </c>
      <c s="723"/>
      <c r="X15" s="761">
        <v>0</v>
      </c>
    </row>
    <row r="16" spans="1:24" s="1638" customFormat="1" ht="22.5" customHeight="1" hidden="1">
      <c r="A16" s="2395"/>
      <c s="514"/>
      <c r="D16" s="956" t="s">
        <v>324</v>
      </c>
      <c s="957" t="s">
        <v>817</v>
      </c>
      <c s="953" t="s">
        <v>818</v>
      </c>
      <c s="820"/>
      <c s="109"/>
      <c s="820"/>
      <c s="109"/>
      <c s="292"/>
      <c s="723"/>
      <c r="X16" s="761">
        <v>0</v>
      </c>
    </row>
    <row r="17" spans="1:24" s="1638" customFormat="1" ht="22.5" customHeight="1" hidden="1">
      <c r="A17" s="2395"/>
      <c s="514"/>
      <c r="D17" s="956" t="s">
        <v>332</v>
      </c>
      <c s="957" t="s">
        <v>819</v>
      </c>
      <c s="953" t="s">
        <v>820</v>
      </c>
      <c s="820"/>
      <c s="109"/>
      <c s="820"/>
      <c s="109"/>
      <c s="292"/>
      <c s="723"/>
      <c r="X17" s="761">
        <v>0</v>
      </c>
    </row>
    <row r="18" spans="1:24" s="1638" customFormat="1" ht="33.75" customHeight="1" hidden="1">
      <c r="A18" s="2395"/>
      <c s="514"/>
      <c r="D18" s="956" t="s">
        <v>334</v>
      </c>
      <c s="957" t="s">
        <v>821</v>
      </c>
      <c s="953" t="s">
        <v>571</v>
      </c>
      <c s="683"/>
      <c s="109"/>
      <c s="683"/>
      <c s="109"/>
      <c s="292"/>
      <c s="723"/>
      <c r="X18" s="761">
        <v>0</v>
      </c>
    </row>
    <row r="19" spans="1:24" ht="101.25" customHeight="1" hidden="1">
      <c r="A19" s="2395"/>
      <c r="D19" s="956" t="s">
        <v>90</v>
      </c>
      <c s="282" t="s">
        <v>822</v>
      </c>
      <c s="663" t="s">
        <v>546</v>
      </c>
      <c s="666"/>
      <c s="665"/>
      <c s="958"/>
      <c s="665"/>
      <c s="292" t="s">
        <v>823</v>
      </c>
      <c s="723"/>
      <c r="X19" s="508">
        <v>0</v>
      </c>
    </row>
    <row r="20" spans="1:24" s="1638" customFormat="1" ht="18.75" customHeight="1" hidden="1">
      <c r="A20" s="2395"/>
      <c r="C20" s="959"/>
      <c s="956" t="s">
        <v>754</v>
      </c>
      <c s="957" t="s">
        <v>824</v>
      </c>
      <c s="953" t="s">
        <v>306</v>
      </c>
      <c s="953" t="s">
        <v>306</v>
      </c>
      <c s="952" t="s">
        <v>306</v>
      </c>
      <c s="953" t="s">
        <v>306</v>
      </c>
      <c s="952" t="s">
        <v>306</v>
      </c>
      <c s="951"/>
      <c s="723"/>
      <c r="W20" s="678"/>
      <c s="761">
        <v>0</v>
      </c>
    </row>
    <row r="21" spans="1:24" s="1638" customFormat="1" ht="33.75" customHeight="1" hidden="1">
      <c r="A21" s="2395"/>
      <c r="C21" s="959"/>
      <c s="956" t="s">
        <v>757</v>
      </c>
      <c s="579" t="s">
        <v>825</v>
      </c>
      <c s="953" t="s">
        <v>826</v>
      </c>
      <c s="683"/>
      <c s="109"/>
      <c s="683"/>
      <c s="109"/>
      <c s="951"/>
      <c s="723"/>
      <c r="W21" s="678"/>
      <c s="761">
        <v>0</v>
      </c>
    </row>
    <row r="22" spans="1:24" s="1638" customFormat="1" ht="33.75" customHeight="1" hidden="1">
      <c r="A22" s="2395"/>
      <c r="C22" s="959"/>
      <c s="956" t="s">
        <v>760</v>
      </c>
      <c s="579" t="s">
        <v>827</v>
      </c>
      <c s="953" t="s">
        <v>828</v>
      </c>
      <c s="683"/>
      <c s="109"/>
      <c s="683"/>
      <c s="109"/>
      <c s="951"/>
      <c s="723"/>
      <c r="W22" s="678"/>
      <c s="761">
        <v>0</v>
      </c>
    </row>
    <row r="23" spans="1:24" s="1638" customFormat="1" ht="22.5" customHeight="1" hidden="1">
      <c r="A23" s="2395"/>
      <c r="C23" s="959"/>
      <c s="956" t="s">
        <v>796</v>
      </c>
      <c s="957" t="s">
        <v>829</v>
      </c>
      <c s="953" t="s">
        <v>306</v>
      </c>
      <c s="953" t="s">
        <v>306</v>
      </c>
      <c s="952" t="s">
        <v>306</v>
      </c>
      <c s="953" t="s">
        <v>306</v>
      </c>
      <c s="952" t="s">
        <v>306</v>
      </c>
      <c s="951"/>
      <c s="723"/>
      <c r="W23" s="678"/>
      <c s="761">
        <v>0</v>
      </c>
    </row>
    <row r="24" spans="1:24" s="1638" customFormat="1" ht="22.5" customHeight="1" hidden="1">
      <c r="A24" s="2395"/>
      <c r="C24" s="959"/>
      <c s="956" t="s">
        <v>830</v>
      </c>
      <c s="579" t="s">
        <v>831</v>
      </c>
      <c s="953" t="s">
        <v>832</v>
      </c>
      <c s="683"/>
      <c s="689"/>
      <c s="683"/>
      <c s="689"/>
      <c s="951"/>
      <c s="723"/>
      <c r="W24" s="678"/>
      <c s="761">
        <v>0</v>
      </c>
    </row>
    <row r="25" spans="1:24" s="1638" customFormat="1" ht="22.5" customHeight="1" hidden="1">
      <c r="A25" s="2395"/>
      <c r="C25" s="959"/>
      <c s="956" t="s">
        <v>833</v>
      </c>
      <c s="579" t="s">
        <v>834</v>
      </c>
      <c s="953" t="s">
        <v>306</v>
      </c>
      <c s="953" t="s">
        <v>306</v>
      </c>
      <c s="952" t="s">
        <v>306</v>
      </c>
      <c s="953" t="s">
        <v>306</v>
      </c>
      <c s="952" t="s">
        <v>306</v>
      </c>
      <c s="951"/>
      <c s="723"/>
      <c r="W25" s="678"/>
      <c s="761">
        <v>0</v>
      </c>
    </row>
    <row r="26" spans="1:24" s="1638" customFormat="1" ht="18.75" customHeight="1" hidden="1">
      <c r="A26" s="2395"/>
      <c r="C26" s="959"/>
      <c s="956" t="s">
        <v>835</v>
      </c>
      <c s="556" t="s">
        <v>836</v>
      </c>
      <c s="953" t="s">
        <v>837</v>
      </c>
      <c s="683"/>
      <c s="689"/>
      <c s="683"/>
      <c s="689"/>
      <c s="951"/>
      <c s="723"/>
      <c r="W26" s="678"/>
      <c s="761">
        <v>0</v>
      </c>
    </row>
    <row r="27" spans="1:24" s="1638" customFormat="1" ht="18.75" customHeight="1" hidden="1">
      <c r="A27" s="2395"/>
      <c r="C27" s="959"/>
      <c s="956" t="s">
        <v>838</v>
      </c>
      <c s="556" t="s">
        <v>839</v>
      </c>
      <c s="953" t="s">
        <v>840</v>
      </c>
      <c s="683"/>
      <c s="689"/>
      <c s="683"/>
      <c s="689"/>
      <c s="951"/>
      <c s="723"/>
      <c r="W27" s="678"/>
      <c s="761">
        <v>0</v>
      </c>
    </row>
    <row r="28" spans="1:24" s="1638" customFormat="1" ht="18.75" customHeight="1" hidden="1">
      <c r="A28" s="2395"/>
      <c r="C28" s="959"/>
      <c s="956" t="s">
        <v>841</v>
      </c>
      <c s="579" t="s">
        <v>842</v>
      </c>
      <c s="953" t="s">
        <v>306</v>
      </c>
      <c s="953" t="s">
        <v>306</v>
      </c>
      <c s="952" t="s">
        <v>306</v>
      </c>
      <c s="953" t="s">
        <v>306</v>
      </c>
      <c s="952" t="s">
        <v>306</v>
      </c>
      <c s="951"/>
      <c s="723"/>
      <c r="W28" s="678"/>
      <c s="761">
        <v>0</v>
      </c>
    </row>
    <row r="29" spans="1:24" s="1638" customFormat="1" ht="18.75" customHeight="1" hidden="1">
      <c r="A29" s="2395"/>
      <c r="C29" s="959"/>
      <c s="956" t="s">
        <v>843</v>
      </c>
      <c s="556" t="s">
        <v>836</v>
      </c>
      <c s="953" t="s">
        <v>844</v>
      </c>
      <c s="683"/>
      <c s="689"/>
      <c s="683"/>
      <c s="689"/>
      <c s="951"/>
      <c s="723"/>
      <c r="W29" s="678"/>
      <c s="761">
        <v>0</v>
      </c>
    </row>
    <row r="30" spans="1:24" s="1638" customFormat="1" ht="18.75" customHeight="1" hidden="1">
      <c r="A30" s="2395"/>
      <c r="C30" s="959"/>
      <c s="956" t="s">
        <v>845</v>
      </c>
      <c s="556" t="s">
        <v>846</v>
      </c>
      <c s="953" t="s">
        <v>847</v>
      </c>
      <c s="683"/>
      <c s="689"/>
      <c s="683"/>
      <c s="689"/>
      <c s="951"/>
      <c s="723"/>
      <c r="W30" s="678"/>
      <c s="761">
        <v>0</v>
      </c>
    </row>
    <row r="31" spans="1:24" ht="126.75" customHeight="1" hidden="1">
      <c r="A31" s="2395"/>
      <c r="D31" s="956" t="s">
        <v>111</v>
      </c>
      <c s="282" t="s">
        <v>848</v>
      </c>
      <c s="663" t="s">
        <v>558</v>
      </c>
      <c s="560"/>
      <c s="665"/>
      <c s="560"/>
      <c s="665"/>
      <c s="292" t="s">
        <v>849</v>
      </c>
      <c s="723"/>
      <c r="X31" s="508">
        <v>0</v>
      </c>
    </row>
    <row r="32" spans="1:24" ht="56.25" customHeight="1" hidden="1">
      <c r="A32" s="2395"/>
      <c r="D32" s="956" t="s">
        <v>91</v>
      </c>
      <c s="282" t="s">
        <v>850</v>
      </c>
      <c s="542" t="s">
        <v>820</v>
      </c>
      <c s="560"/>
      <c s="665"/>
      <c s="560"/>
      <c s="665"/>
      <c s="292" t="s">
        <v>851</v>
      </c>
      <c s="723"/>
      <c r="X32" s="508">
        <v>0</v>
      </c>
    </row>
    <row r="33" spans="1:24" ht="11.25" customHeight="1" hidden="1">
      <c r="A33" s="2395"/>
      <c r="E33" s="667"/>
      <c s="184"/>
      <c s="184"/>
      <c s="184"/>
      <c s="184"/>
      <c s="184"/>
      <c s="184"/>
      <c r="X33" s="508">
        <v>0</v>
      </c>
    </row>
    <row r="34" spans="1:24" ht="12.75" customHeight="1" hidden="1">
      <c r="A34" s="2395"/>
      <c r="D34" s="68">
        <v>1</v>
      </c>
      <c s="338" t="s">
        <v>852</v>
      </c>
      <c r="X34" s="508">
        <v>0</v>
      </c>
    </row>
    <row r="35" spans="1:24" ht="11.25" customHeight="1" hidden="1">
      <c r="A35" s="2395"/>
      <c r="D35" s="372"/>
      <c s="338" t="s">
        <v>853</v>
      </c>
      <c r="X35" s="508">
        <v>0</v>
      </c>
    </row>
    <row r="36" spans="1:24" s="1638" customFormat="1" ht="11.55" customHeight="1">
      <c r="A36" s="1036"/>
      <c s="521"/>
      <c r="D36" s="1037"/>
      <c s="1038"/>
      <c r="X36" s="512">
        <v>11</v>
      </c>
    </row>
    <row r="37" spans="1:24" s="1638" customFormat="1" ht="22.5" customHeight="1" hidden="1">
      <c r="A37" s="2395" t="s">
        <v>854</v>
      </c>
      <c s="514"/>
      <c r="D37" s="956">
        <v>1</v>
      </c>
      <c s="710" t="s">
        <v>855</v>
      </c>
      <c s="663" t="s">
        <v>810</v>
      </c>
      <c s="560"/>
      <c s="522"/>
      <c s="560"/>
      <c s="522"/>
      <c s="292" t="s">
        <v>856</v>
      </c>
      <c r="X37" s="761">
        <v>0</v>
      </c>
    </row>
    <row r="38" spans="1:24" s="1638" customFormat="1" ht="22.5" customHeight="1" hidden="1">
      <c r="A38" s="2395"/>
      <c s="514"/>
      <c r="D38" s="672" t="s">
        <v>110</v>
      </c>
      <c s="1035" t="s">
        <v>857</v>
      </c>
      <c s="1039" t="s">
        <v>546</v>
      </c>
      <c s="1039" t="s">
        <v>546</v>
      </c>
      <c s="1033"/>
      <c s="1039" t="s">
        <v>546</v>
      </c>
      <c s="1033"/>
      <c s="1034"/>
      <c r="X38" s="761">
        <v>0</v>
      </c>
    </row>
    <row r="39" spans="1:24" s="1638" customFormat="1" ht="33.75" customHeight="1" hidden="1">
      <c r="A39" s="2395"/>
      <c s="514"/>
      <c r="D39" s="668" t="s">
        <v>712</v>
      </c>
      <c s="726" t="s">
        <v>858</v>
      </c>
      <c s="663" t="s">
        <v>859</v>
      </c>
      <c s="671"/>
      <c s="1026"/>
      <c s="671"/>
      <c s="1026"/>
      <c s="292" t="s">
        <v>860</v>
      </c>
      <c r="X39" s="761">
        <v>0</v>
      </c>
    </row>
    <row r="40" spans="1:24" s="1638" customFormat="1" ht="33.75" customHeight="1" hidden="1">
      <c r="A40" s="2395"/>
      <c s="514"/>
      <c r="D40" s="668" t="s">
        <v>715</v>
      </c>
      <c s="726" t="s">
        <v>861</v>
      </c>
      <c s="1030" t="s">
        <v>862</v>
      </c>
      <c s="744"/>
      <c s="1026"/>
      <c s="744"/>
      <c s="1026"/>
      <c s="292" t="s">
        <v>863</v>
      </c>
      <c r="X40" s="761">
        <v>0</v>
      </c>
    </row>
    <row r="41" spans="1:24" s="1638" customFormat="1" ht="22.5" customHeight="1" hidden="1">
      <c r="A41" s="2395"/>
      <c s="514"/>
      <c r="D41" s="668" t="s">
        <v>89</v>
      </c>
      <c s="725" t="s">
        <v>864</v>
      </c>
      <c s="663" t="s">
        <v>546</v>
      </c>
      <c s="663" t="s">
        <v>546</v>
      </c>
      <c s="1027"/>
      <c s="663" t="s">
        <v>546</v>
      </c>
      <c s="1027"/>
      <c s="305"/>
      <c r="X41" s="761">
        <v>0</v>
      </c>
    </row>
    <row r="42" spans="1:24" s="1638" customFormat="1" ht="45" customHeight="1" hidden="1">
      <c r="A42" s="2395"/>
      <c s="514"/>
      <c r="D42" s="668" t="s">
        <v>324</v>
      </c>
      <c s="726" t="s">
        <v>865</v>
      </c>
      <c s="663" t="s">
        <v>558</v>
      </c>
      <c s="560"/>
      <c s="1027"/>
      <c s="560"/>
      <c s="1027"/>
      <c s="305" t="s">
        <v>866</v>
      </c>
      <c r="X42" s="761">
        <v>0</v>
      </c>
    </row>
    <row r="43" spans="1:24" s="1638" customFormat="1" ht="45" customHeight="1" hidden="1">
      <c r="A43" s="2395"/>
      <c s="514"/>
      <c r="D43" s="668" t="s">
        <v>332</v>
      </c>
      <c s="670" t="s">
        <v>867</v>
      </c>
      <c s="1031" t="s">
        <v>558</v>
      </c>
      <c s="745"/>
      <c s="1026"/>
      <c s="745"/>
      <c s="1026"/>
      <c s="305" t="s">
        <v>868</v>
      </c>
      <c r="X43" s="761">
        <v>0</v>
      </c>
    </row>
    <row r="44" spans="1:24" s="1638" customFormat="1" ht="11.25" customHeight="1" hidden="1">
      <c r="A44" s="2395"/>
      <c s="514"/>
      <c r="D44" s="668" t="s">
        <v>90</v>
      </c>
      <c s="669" t="s">
        <v>869</v>
      </c>
      <c s="663" t="s">
        <v>859</v>
      </c>
      <c s="671"/>
      <c s="1026"/>
      <c s="671"/>
      <c s="1026"/>
      <c s="292"/>
      <c r="X44" s="761">
        <v>0</v>
      </c>
    </row>
    <row r="45" spans="1:24" s="1638" customFormat="1" ht="11.25" customHeight="1" hidden="1">
      <c r="A45" s="2395"/>
      <c s="514"/>
      <c r="D45" s="668" t="s">
        <v>754</v>
      </c>
      <c s="670" t="s">
        <v>870</v>
      </c>
      <c s="663" t="s">
        <v>859</v>
      </c>
      <c s="671"/>
      <c s="1026"/>
      <c s="671"/>
      <c s="1026"/>
      <c s="292"/>
      <c r="X45" s="761">
        <v>0</v>
      </c>
    </row>
    <row r="46" spans="1:24" s="1638" customFormat="1" ht="11.25" customHeight="1" hidden="1">
      <c r="A46" s="2395"/>
      <c s="514"/>
      <c r="D46" s="668" t="s">
        <v>796</v>
      </c>
      <c s="670" t="s">
        <v>871</v>
      </c>
      <c s="663" t="s">
        <v>859</v>
      </c>
      <c s="671"/>
      <c s="1026"/>
      <c s="671"/>
      <c s="1026"/>
      <c s="292"/>
      <c r="X46" s="761">
        <v>0</v>
      </c>
    </row>
    <row r="47" spans="1:24" s="1638" customFormat="1" ht="11.25" customHeight="1" hidden="1">
      <c r="A47" s="2395"/>
      <c s="514"/>
      <c r="D47" s="668" t="s">
        <v>799</v>
      </c>
      <c s="670" t="s">
        <v>872</v>
      </c>
      <c s="663" t="s">
        <v>859</v>
      </c>
      <c s="671"/>
      <c s="1026"/>
      <c s="671"/>
      <c s="1026"/>
      <c s="292"/>
      <c r="X47" s="761">
        <v>0</v>
      </c>
    </row>
    <row r="48" spans="1:24" s="1638" customFormat="1" ht="11.25" customHeight="1" hidden="1">
      <c r="A48" s="2395"/>
      <c s="514"/>
      <c r="D48" s="668" t="s">
        <v>873</v>
      </c>
      <c s="674" t="s">
        <v>874</v>
      </c>
      <c s="663" t="s">
        <v>859</v>
      </c>
      <c s="671"/>
      <c s="1026"/>
      <c s="671"/>
      <c s="1026"/>
      <c s="292"/>
      <c r="X48" s="761">
        <v>0</v>
      </c>
    </row>
    <row r="49" spans="1:24" s="1638" customFormat="1" ht="11.25" customHeight="1" hidden="1">
      <c r="A49" s="2395"/>
      <c s="514"/>
      <c r="D49" s="668" t="s">
        <v>875</v>
      </c>
      <c s="674" t="s">
        <v>876</v>
      </c>
      <c s="663" t="s">
        <v>859</v>
      </c>
      <c s="671"/>
      <c s="1026"/>
      <c s="671"/>
      <c s="1026"/>
      <c s="292"/>
      <c r="X49" s="761">
        <v>0</v>
      </c>
    </row>
    <row r="50" spans="1:24" s="1638" customFormat="1" ht="11.25" customHeight="1" hidden="1">
      <c r="A50" s="2395"/>
      <c s="514"/>
      <c r="D50" s="668" t="s">
        <v>877</v>
      </c>
      <c s="670" t="s">
        <v>878</v>
      </c>
      <c s="663" t="s">
        <v>859</v>
      </c>
      <c s="671"/>
      <c s="1026"/>
      <c s="671"/>
      <c s="1026"/>
      <c s="292"/>
      <c r="X50" s="761">
        <v>0</v>
      </c>
    </row>
    <row r="51" spans="1:24" s="1638" customFormat="1" ht="11.25" customHeight="1" hidden="1">
      <c r="A51" s="2395"/>
      <c s="514"/>
      <c r="D51" s="668" t="s">
        <v>879</v>
      </c>
      <c s="670" t="s">
        <v>880</v>
      </c>
      <c s="663" t="s">
        <v>859</v>
      </c>
      <c s="671"/>
      <c s="1026"/>
      <c s="671"/>
      <c s="1026"/>
      <c s="292"/>
      <c r="X51" s="761">
        <v>0</v>
      </c>
    </row>
    <row r="52" spans="1:24" s="1638" customFormat="1" ht="45" customHeight="1" hidden="1">
      <c r="A52" s="2395"/>
      <c s="514"/>
      <c r="D52" s="668" t="s">
        <v>111</v>
      </c>
      <c s="669" t="s">
        <v>881</v>
      </c>
      <c s="663" t="s">
        <v>859</v>
      </c>
      <c s="671"/>
      <c s="1026"/>
      <c s="671"/>
      <c s="1026"/>
      <c s="292"/>
      <c r="X52" s="761">
        <v>0</v>
      </c>
    </row>
    <row r="53" spans="1:24" s="1638" customFormat="1" ht="11.25" customHeight="1" hidden="1">
      <c r="A53" s="2395"/>
      <c s="514"/>
      <c r="D53" s="668" t="s">
        <v>313</v>
      </c>
      <c s="670" t="s">
        <v>870</v>
      </c>
      <c s="663" t="s">
        <v>859</v>
      </c>
      <c s="671"/>
      <c s="1026"/>
      <c s="671"/>
      <c s="1026"/>
      <c s="292"/>
      <c r="X53" s="761">
        <v>0</v>
      </c>
    </row>
    <row r="54" spans="1:24" s="1638" customFormat="1" ht="11.25" customHeight="1" hidden="1">
      <c r="A54" s="2395"/>
      <c s="514"/>
      <c r="D54" s="668" t="s">
        <v>882</v>
      </c>
      <c s="670" t="s">
        <v>871</v>
      </c>
      <c s="663" t="s">
        <v>859</v>
      </c>
      <c s="671"/>
      <c s="1026"/>
      <c s="671"/>
      <c s="1026"/>
      <c s="292"/>
      <c r="X54" s="761">
        <v>0</v>
      </c>
    </row>
    <row r="55" spans="1:24" s="1638" customFormat="1" ht="11.25" customHeight="1" hidden="1">
      <c r="A55" s="2395"/>
      <c s="514"/>
      <c r="D55" s="668" t="s">
        <v>883</v>
      </c>
      <c s="670" t="s">
        <v>872</v>
      </c>
      <c s="663" t="s">
        <v>859</v>
      </c>
      <c s="671"/>
      <c s="1026"/>
      <c s="671"/>
      <c s="1026"/>
      <c s="292"/>
      <c r="X55" s="761">
        <v>0</v>
      </c>
    </row>
    <row r="56" spans="1:24" s="1638" customFormat="1" ht="11.25" customHeight="1" hidden="1">
      <c r="A56" s="2395"/>
      <c s="514"/>
      <c r="D56" s="668" t="s">
        <v>884</v>
      </c>
      <c s="674" t="s">
        <v>874</v>
      </c>
      <c s="663" t="s">
        <v>859</v>
      </c>
      <c s="671"/>
      <c s="1026"/>
      <c s="671"/>
      <c s="1026"/>
      <c s="292"/>
      <c r="X56" s="761">
        <v>0</v>
      </c>
    </row>
    <row r="57" spans="1:24" s="1638" customFormat="1" ht="11.25" customHeight="1" hidden="1">
      <c r="A57" s="2395"/>
      <c s="514"/>
      <c r="D57" s="668" t="s">
        <v>885</v>
      </c>
      <c s="674" t="s">
        <v>876</v>
      </c>
      <c s="663" t="s">
        <v>859</v>
      </c>
      <c s="671"/>
      <c s="1026"/>
      <c s="671"/>
      <c s="1026"/>
      <c s="292"/>
      <c r="X57" s="761">
        <v>0</v>
      </c>
    </row>
    <row r="58" spans="1:24" s="1638" customFormat="1" ht="11.25" customHeight="1" hidden="1">
      <c r="A58" s="2395"/>
      <c s="514"/>
      <c r="D58" s="668" t="s">
        <v>886</v>
      </c>
      <c s="670" t="s">
        <v>878</v>
      </c>
      <c s="663" t="s">
        <v>859</v>
      </c>
      <c s="671"/>
      <c s="1026"/>
      <c s="671"/>
      <c s="1026"/>
      <c s="292"/>
      <c r="X58" s="761">
        <v>0</v>
      </c>
    </row>
    <row r="59" spans="1:24" s="1638" customFormat="1" ht="11.25" customHeight="1" hidden="1">
      <c r="A59" s="2395"/>
      <c s="514"/>
      <c r="D59" s="668" t="s">
        <v>887</v>
      </c>
      <c s="670" t="s">
        <v>880</v>
      </c>
      <c s="663" t="s">
        <v>859</v>
      </c>
      <c s="671"/>
      <c s="1026"/>
      <c s="671"/>
      <c s="1026"/>
      <c s="292"/>
      <c r="X59" s="761">
        <v>0</v>
      </c>
    </row>
    <row r="60" spans="1:24" s="1638" customFormat="1" ht="33.75" customHeight="1" hidden="1">
      <c r="A60" s="2395"/>
      <c s="514"/>
      <c r="D60" s="668" t="s">
        <v>91</v>
      </c>
      <c s="669" t="s">
        <v>888</v>
      </c>
      <c s="724" t="s">
        <v>558</v>
      </c>
      <c s="745"/>
      <c s="1026"/>
      <c s="745"/>
      <c s="1026"/>
      <c s="305" t="s">
        <v>889</v>
      </c>
      <c r="X60" s="761">
        <v>0</v>
      </c>
    </row>
    <row r="61" spans="1:24" s="1638" customFormat="1" ht="33.75" customHeight="1" hidden="1">
      <c r="A61" s="2395"/>
      <c s="514"/>
      <c r="D61" s="668" t="s">
        <v>92</v>
      </c>
      <c s="669" t="s">
        <v>890</v>
      </c>
      <c s="729" t="s">
        <v>820</v>
      </c>
      <c s="671"/>
      <c s="1026"/>
      <c s="671"/>
      <c s="1026"/>
      <c s="292"/>
      <c r="X61" s="761">
        <v>0</v>
      </c>
    </row>
    <row r="62" spans="1:24" s="1638" customFormat="1" ht="22.5" customHeight="1" hidden="1">
      <c r="A62" s="2395"/>
      <c s="514" t="s">
        <v>588</v>
      </c>
      <c r="D62" s="668" t="s">
        <v>112</v>
      </c>
      <c s="669" t="s">
        <v>891</v>
      </c>
      <c s="729" t="s">
        <v>306</v>
      </c>
      <c s="385"/>
      <c s="1026"/>
      <c s="385"/>
      <c s="1026"/>
      <c s="292" t="s">
        <v>631</v>
      </c>
      <c r="X62" s="761">
        <v>0</v>
      </c>
    </row>
    <row r="63" spans="1:24" s="1638" customFormat="1" ht="45" customHeight="1" hidden="1">
      <c r="A63" s="2395"/>
      <c s="514" t="s">
        <v>588</v>
      </c>
      <c r="D63" s="668" t="s">
        <v>892</v>
      </c>
      <c s="670" t="s">
        <v>893</v>
      </c>
      <c s="724" t="s">
        <v>306</v>
      </c>
      <c s="385"/>
      <c s="1026"/>
      <c s="385"/>
      <c s="1026"/>
      <c s="292" t="s">
        <v>631</v>
      </c>
      <c r="X63" s="761">
        <v>0</v>
      </c>
    </row>
    <row r="64" spans="1:24" s="1638" customFormat="1" ht="11.55" customHeight="1">
      <c r="A64" s="1036"/>
      <c s="521"/>
      <c r="D64" s="1037"/>
      <c s="1038"/>
      <c r="X64" s="512">
        <v>11</v>
      </c>
    </row>
    <row r="65" spans="1:24" s="1638" customFormat="1" ht="22.5" customHeight="1" hidden="1">
      <c r="A65" s="2395" t="s">
        <v>894</v>
      </c>
      <c s="514"/>
      <c r="D65" s="668">
        <v>1</v>
      </c>
      <c s="747" t="s">
        <v>895</v>
      </c>
      <c s="743" t="s">
        <v>810</v>
      </c>
      <c s="744"/>
      <c s="1032"/>
      <c s="744"/>
      <c s="1032"/>
      <c s="304" t="s">
        <v>896</v>
      </c>
      <c r="X65" s="761">
        <v>0</v>
      </c>
    </row>
    <row r="66" spans="1:24" s="1638" customFormat="1" ht="56.25" customHeight="1" hidden="1">
      <c r="A66" s="2395"/>
      <c s="514"/>
      <c r="D66" s="746" t="s">
        <v>110</v>
      </c>
      <c s="710" t="s">
        <v>897</v>
      </c>
      <c s="663" t="s">
        <v>546</v>
      </c>
      <c s="663" t="s">
        <v>546</v>
      </c>
      <c s="522"/>
      <c s="663" t="s">
        <v>546</v>
      </c>
      <c s="522"/>
      <c s="292"/>
      <c r="X66" s="761">
        <v>0</v>
      </c>
    </row>
    <row r="67" spans="1:24" s="1638" customFormat="1" ht="33.75" customHeight="1" hidden="1">
      <c r="A67" s="2395"/>
      <c s="514"/>
      <c r="D67" s="746" t="s">
        <v>709</v>
      </c>
      <c s="957" t="s">
        <v>898</v>
      </c>
      <c s="663" t="s">
        <v>862</v>
      </c>
      <c s="730"/>
      <c s="522"/>
      <c s="730"/>
      <c s="522"/>
      <c s="292"/>
      <c r="X67" s="761">
        <v>0</v>
      </c>
    </row>
    <row r="68" spans="1:24" s="1638" customFormat="1" ht="22.5" customHeight="1" hidden="1">
      <c r="A68" s="2395"/>
      <c s="514"/>
      <c r="D68" s="746" t="s">
        <v>307</v>
      </c>
      <c s="957" t="s">
        <v>899</v>
      </c>
      <c s="663" t="s">
        <v>862</v>
      </c>
      <c s="730"/>
      <c s="522"/>
      <c s="730"/>
      <c s="522"/>
      <c s="292"/>
      <c r="X68" s="761">
        <v>0</v>
      </c>
    </row>
    <row r="69" spans="1:24" s="1638" customFormat="1" ht="22.5" customHeight="1" hidden="1">
      <c r="A69" s="2395"/>
      <c s="514"/>
      <c r="D69" s="746" t="s">
        <v>310</v>
      </c>
      <c s="957" t="s">
        <v>900</v>
      </c>
      <c s="724" t="s">
        <v>558</v>
      </c>
      <c s="745"/>
      <c s="522"/>
      <c s="745"/>
      <c s="522"/>
      <c s="292"/>
      <c r="X69" s="761">
        <v>0</v>
      </c>
    </row>
    <row r="70" spans="1:24" s="1638" customFormat="1" ht="22.5" customHeight="1" hidden="1">
      <c r="A70" s="2395"/>
      <c s="514"/>
      <c r="D70" s="746" t="s">
        <v>729</v>
      </c>
      <c s="957" t="s">
        <v>901</v>
      </c>
      <c s="724" t="s">
        <v>558</v>
      </c>
      <c s="745"/>
      <c s="522"/>
      <c s="745"/>
      <c s="522"/>
      <c s="292"/>
      <c r="X70" s="761">
        <v>0</v>
      </c>
    </row>
    <row r="71" spans="1:24" s="1638" customFormat="1" ht="22.5" customHeight="1" hidden="1">
      <c r="A71" s="2395"/>
      <c s="514"/>
      <c r="D71" s="668" t="s">
        <v>89</v>
      </c>
      <c s="669" t="s">
        <v>902</v>
      </c>
      <c s="663" t="s">
        <v>862</v>
      </c>
      <c s="560"/>
      <c s="1033"/>
      <c s="560"/>
      <c s="1033"/>
      <c s="305"/>
      <c r="X71" s="761">
        <v>0</v>
      </c>
    </row>
    <row r="72" spans="1:24" s="1638" customFormat="1" ht="56.25" customHeight="1" hidden="1">
      <c r="A72" s="2395"/>
      <c s="514"/>
      <c r="D72" s="668" t="s">
        <v>90</v>
      </c>
      <c s="669" t="s">
        <v>903</v>
      </c>
      <c s="724" t="s">
        <v>558</v>
      </c>
      <c s="745"/>
      <c s="1026"/>
      <c s="745"/>
      <c s="1026"/>
      <c s="305"/>
      <c r="X72" s="761">
        <v>0</v>
      </c>
    </row>
    <row r="73" spans="1:24" s="1638" customFormat="1" ht="33.75" customHeight="1" hidden="1">
      <c r="A73" s="2395"/>
      <c s="514"/>
      <c r="D73" s="668" t="s">
        <v>111</v>
      </c>
      <c s="669" t="s">
        <v>904</v>
      </c>
      <c s="729" t="s">
        <v>820</v>
      </c>
      <c s="671"/>
      <c s="1026"/>
      <c s="671"/>
      <c s="1026"/>
      <c s="292"/>
      <c r="X73" s="761">
        <v>0</v>
      </c>
    </row>
    <row r="74" spans="1:24" s="1638" customFormat="1" ht="22.5" customHeight="1" hidden="1">
      <c r="A74" s="2395"/>
      <c s="514" t="s">
        <v>588</v>
      </c>
      <c r="D74" s="668" t="s">
        <v>91</v>
      </c>
      <c s="669" t="s">
        <v>905</v>
      </c>
      <c s="729" t="s">
        <v>306</v>
      </c>
      <c s="385"/>
      <c s="1026"/>
      <c s="385"/>
      <c s="1026"/>
      <c s="292" t="s">
        <v>631</v>
      </c>
      <c r="X74" s="761">
        <v>0</v>
      </c>
    </row>
    <row r="75" spans="1:24" s="1638" customFormat="1" ht="45" customHeight="1" hidden="1">
      <c r="A75" s="2395"/>
      <c s="514" t="s">
        <v>588</v>
      </c>
      <c r="D75" s="668" t="s">
        <v>652</v>
      </c>
      <c s="670" t="s">
        <v>906</v>
      </c>
      <c s="724" t="s">
        <v>306</v>
      </c>
      <c s="385"/>
      <c s="1026"/>
      <c s="385"/>
      <c s="1026"/>
      <c s="292" t="s">
        <v>631</v>
      </c>
      <c r="X75" s="761">
        <v>0</v>
      </c>
    </row>
    <row r="76" spans="1:24" s="1638" customFormat="1" ht="11.55" customHeight="1">
      <c r="A76" s="1036"/>
      <c s="521"/>
      <c r="D76" s="1037"/>
      <c s="1038"/>
      <c r="X76" s="512">
        <v>11</v>
      </c>
    </row>
    <row r="77" spans="1:24" s="1638" customFormat="1" ht="11.25" customHeight="1">
      <c r="A77" s="2395" t="s">
        <v>907</v>
      </c>
      <c s="514"/>
      <c r="D77" s="668">
        <v>1</v>
      </c>
      <c s="669" t="s">
        <v>908</v>
      </c>
      <c s="724" t="s">
        <v>810</v>
      </c>
      <c s="727"/>
      <c s="1026"/>
      <c s="727"/>
      <c s="1026"/>
      <c s="292" t="s">
        <v>909</v>
      </c>
      <c r="X77" s="761">
        <v>0</v>
      </c>
    </row>
    <row r="78" spans="1:24" s="1638" customFormat="1" ht="11.25" customHeight="1">
      <c r="A78" s="2395"/>
      <c s="514"/>
      <c r="D78" s="668" t="s">
        <v>110</v>
      </c>
      <c s="669" t="s">
        <v>910</v>
      </c>
      <c s="724" t="s">
        <v>810</v>
      </c>
      <c s="727"/>
      <c s="1026"/>
      <c s="727"/>
      <c s="1026"/>
      <c s="292" t="s">
        <v>911</v>
      </c>
      <c r="X78" s="761">
        <v>0</v>
      </c>
    </row>
    <row r="79" spans="1:24" s="1638" customFormat="1" ht="22.5" customHeight="1">
      <c r="A79" s="2395"/>
      <c s="514"/>
      <c r="D79" s="668" t="s">
        <v>89</v>
      </c>
      <c s="725" t="s">
        <v>912</v>
      </c>
      <c s="663" t="s">
        <v>859</v>
      </c>
      <c s="727"/>
      <c s="1026"/>
      <c s="727"/>
      <c s="1026"/>
      <c s="292" t="s">
        <v>913</v>
      </c>
      <c r="X79" s="761">
        <v>0</v>
      </c>
    </row>
    <row r="80" spans="1:24" s="1638" customFormat="1" ht="11.25" customHeight="1">
      <c r="A80" s="2395"/>
      <c s="514"/>
      <c r="D80" s="668" t="s">
        <v>324</v>
      </c>
      <c s="726" t="s">
        <v>914</v>
      </c>
      <c s="663" t="s">
        <v>859</v>
      </c>
      <c s="727"/>
      <c s="1026"/>
      <c s="727"/>
      <c s="1026"/>
      <c s="292"/>
      <c r="X80" s="761">
        <v>0</v>
      </c>
    </row>
    <row r="81" spans="1:24" s="1638" customFormat="1" ht="11.25" customHeight="1">
      <c r="A81" s="2395"/>
      <c s="514"/>
      <c r="D81" s="668" t="s">
        <v>332</v>
      </c>
      <c s="726" t="s">
        <v>915</v>
      </c>
      <c s="663" t="s">
        <v>859</v>
      </c>
      <c s="727"/>
      <c s="1026"/>
      <c s="727"/>
      <c s="1026"/>
      <c s="292"/>
      <c r="X81" s="761">
        <v>0</v>
      </c>
    </row>
    <row r="82" spans="1:24" s="1638" customFormat="1" ht="11.25" customHeight="1">
      <c r="A82" s="2395"/>
      <c s="514"/>
      <c r="D82" s="668" t="s">
        <v>334</v>
      </c>
      <c s="726" t="s">
        <v>916</v>
      </c>
      <c s="663" t="s">
        <v>859</v>
      </c>
      <c s="727"/>
      <c s="1026"/>
      <c s="727"/>
      <c s="1026"/>
      <c s="292"/>
      <c r="X82" s="761">
        <v>0</v>
      </c>
    </row>
    <row r="83" spans="1:24" s="1638" customFormat="1" ht="11.25" customHeight="1">
      <c r="A83" s="2395"/>
      <c s="514"/>
      <c r="D83" s="668" t="s">
        <v>336</v>
      </c>
      <c s="726" t="s">
        <v>917</v>
      </c>
      <c s="663" t="s">
        <v>859</v>
      </c>
      <c s="727"/>
      <c s="1026"/>
      <c s="727"/>
      <c s="1026"/>
      <c s="292"/>
      <c r="X83" s="761">
        <v>0</v>
      </c>
    </row>
    <row r="84" spans="1:24" s="1638" customFormat="1" ht="11.25" customHeight="1">
      <c r="A84" s="2395"/>
      <c s="514"/>
      <c r="D84" s="668" t="s">
        <v>918</v>
      </c>
      <c s="726" t="s">
        <v>919</v>
      </c>
      <c s="663" t="s">
        <v>859</v>
      </c>
      <c s="727"/>
      <c s="1026"/>
      <c s="727"/>
      <c s="1026"/>
      <c s="292"/>
      <c r="X84" s="761">
        <v>0</v>
      </c>
    </row>
    <row r="85" spans="1:24" s="1638" customFormat="1" ht="11.25" customHeight="1">
      <c r="A85" s="2395"/>
      <c s="514"/>
      <c r="D85" s="668" t="s">
        <v>920</v>
      </c>
      <c s="726" t="s">
        <v>921</v>
      </c>
      <c s="663" t="s">
        <v>859</v>
      </c>
      <c s="727"/>
      <c s="1026"/>
      <c s="727"/>
      <c s="1026"/>
      <c s="292"/>
      <c r="X85" s="761">
        <v>0</v>
      </c>
    </row>
    <row r="86" spans="1:24" s="1638" customFormat="1" ht="11.25" customHeight="1">
      <c r="A86" s="2395"/>
      <c s="514"/>
      <c r="D86" s="668" t="s">
        <v>922</v>
      </c>
      <c s="726" t="s">
        <v>923</v>
      </c>
      <c s="663" t="s">
        <v>859</v>
      </c>
      <c s="727"/>
      <c s="1026"/>
      <c s="727"/>
      <c s="1026"/>
      <c s="292"/>
      <c r="X86" s="761">
        <v>0</v>
      </c>
    </row>
    <row r="87" spans="1:24" s="1638" customFormat="1" ht="45" customHeight="1">
      <c r="A87" s="2395"/>
      <c s="514"/>
      <c r="D87" s="668" t="s">
        <v>90</v>
      </c>
      <c s="669" t="s">
        <v>924</v>
      </c>
      <c s="663" t="s">
        <v>859</v>
      </c>
      <c s="727"/>
      <c s="1026"/>
      <c s="727"/>
      <c s="1026"/>
      <c s="292" t="s">
        <v>925</v>
      </c>
      <c r="X87" s="761">
        <v>0</v>
      </c>
    </row>
    <row r="88" spans="1:24" s="1638" customFormat="1" ht="11.25" customHeight="1">
      <c r="A88" s="2395"/>
      <c s="514"/>
      <c r="D88" s="668" t="s">
        <v>754</v>
      </c>
      <c s="726" t="s">
        <v>914</v>
      </c>
      <c s="663" t="s">
        <v>859</v>
      </c>
      <c s="727"/>
      <c s="1026"/>
      <c s="727"/>
      <c s="1026"/>
      <c s="292"/>
      <c r="X88" s="761">
        <v>0</v>
      </c>
    </row>
    <row r="89" spans="1:24" s="1638" customFormat="1" ht="11.25" customHeight="1">
      <c r="A89" s="2395"/>
      <c s="514"/>
      <c r="D89" s="668" t="s">
        <v>796</v>
      </c>
      <c s="726" t="s">
        <v>915</v>
      </c>
      <c s="663" t="s">
        <v>859</v>
      </c>
      <c s="727"/>
      <c s="1026"/>
      <c s="727"/>
      <c s="1026"/>
      <c s="292"/>
      <c r="X89" s="761">
        <v>0</v>
      </c>
    </row>
    <row r="90" spans="1:24" s="1638" customFormat="1" ht="11.25" customHeight="1">
      <c r="A90" s="2395"/>
      <c s="514"/>
      <c r="D90" s="668" t="s">
        <v>799</v>
      </c>
      <c s="726" t="s">
        <v>916</v>
      </c>
      <c s="663" t="s">
        <v>859</v>
      </c>
      <c s="727"/>
      <c s="1026"/>
      <c s="727"/>
      <c s="1026"/>
      <c s="292"/>
      <c r="X90" s="761">
        <v>0</v>
      </c>
    </row>
    <row r="91" spans="1:24" s="1638" customFormat="1" ht="11.25" customHeight="1">
      <c r="A91" s="2395"/>
      <c s="514"/>
      <c r="D91" s="668" t="s">
        <v>877</v>
      </c>
      <c s="726" t="s">
        <v>917</v>
      </c>
      <c s="663" t="s">
        <v>859</v>
      </c>
      <c s="727"/>
      <c s="1026"/>
      <c s="727"/>
      <c s="1026"/>
      <c s="292"/>
      <c r="X91" s="761">
        <v>0</v>
      </c>
    </row>
    <row r="92" spans="1:24" s="1638" customFormat="1" ht="11.25" customHeight="1">
      <c r="A92" s="2395"/>
      <c s="514"/>
      <c r="D92" s="668" t="s">
        <v>879</v>
      </c>
      <c s="726" t="s">
        <v>919</v>
      </c>
      <c s="663" t="s">
        <v>859</v>
      </c>
      <c s="727"/>
      <c s="1026"/>
      <c s="727"/>
      <c s="1026"/>
      <c s="292"/>
      <c r="X92" s="761">
        <v>0</v>
      </c>
    </row>
    <row r="93" spans="1:24" s="1638" customFormat="1" ht="11.25" customHeight="1">
      <c r="A93" s="2395"/>
      <c s="514"/>
      <c r="D93" s="668" t="s">
        <v>926</v>
      </c>
      <c s="726" t="s">
        <v>921</v>
      </c>
      <c s="663" t="s">
        <v>859</v>
      </c>
      <c s="727"/>
      <c s="1026"/>
      <c s="727"/>
      <c s="1026"/>
      <c s="292"/>
      <c r="X93" s="761">
        <v>0</v>
      </c>
    </row>
    <row r="94" spans="1:24" s="1638" customFormat="1" ht="11.25" customHeight="1">
      <c r="A94" s="2395"/>
      <c s="514"/>
      <c r="D94" s="668" t="s">
        <v>927</v>
      </c>
      <c s="726" t="s">
        <v>923</v>
      </c>
      <c s="663" t="s">
        <v>859</v>
      </c>
      <c s="727"/>
      <c s="1026"/>
      <c s="727"/>
      <c s="1026"/>
      <c s="292"/>
      <c r="X94" s="761">
        <v>0</v>
      </c>
    </row>
    <row r="95" spans="1:24" s="1638" customFormat="1" ht="24.75" customHeight="1">
      <c r="A95" s="2395"/>
      <c s="514"/>
      <c r="D95" s="668" t="s">
        <v>111</v>
      </c>
      <c s="669" t="s">
        <v>928</v>
      </c>
      <c s="728" t="s">
        <v>558</v>
      </c>
      <c s="730"/>
      <c s="1026"/>
      <c s="730"/>
      <c s="1026"/>
      <c s="292" t="s">
        <v>929</v>
      </c>
      <c r="X95" s="761">
        <v>0</v>
      </c>
    </row>
    <row r="96" spans="1:24" s="1638" customFormat="1" ht="33.75" customHeight="1">
      <c r="A96" s="2395"/>
      <c s="514"/>
      <c r="D96" s="668" t="s">
        <v>91</v>
      </c>
      <c s="669" t="s">
        <v>930</v>
      </c>
      <c s="729" t="s">
        <v>820</v>
      </c>
      <c s="731"/>
      <c s="1026"/>
      <c s="731"/>
      <c s="1026"/>
      <c s="292"/>
      <c r="X96" s="761">
        <v>0</v>
      </c>
    </row>
    <row r="97" spans="1:24" s="1638" customFormat="1" ht="22.5" customHeight="1">
      <c r="A97" s="2395"/>
      <c s="514" t="s">
        <v>588</v>
      </c>
      <c r="D97" s="668" t="s">
        <v>92</v>
      </c>
      <c s="669" t="s">
        <v>931</v>
      </c>
      <c s="729" t="s">
        <v>306</v>
      </c>
      <c s="388"/>
      <c s="1026"/>
      <c s="388"/>
      <c s="1026"/>
      <c s="292" t="s">
        <v>631</v>
      </c>
      <c r="X97" s="761">
        <v>0</v>
      </c>
    </row>
    <row r="98" spans="1:24" s="1638" customFormat="1" ht="45" customHeight="1">
      <c r="A98" s="2395"/>
      <c s="514" t="s">
        <v>588</v>
      </c>
      <c r="D98" s="668" t="s">
        <v>932</v>
      </c>
      <c s="670" t="s">
        <v>933</v>
      </c>
      <c s="724" t="s">
        <v>306</v>
      </c>
      <c s="388"/>
      <c s="1026"/>
      <c s="388"/>
      <c s="1026"/>
      <c s="292" t="s">
        <v>631</v>
      </c>
      <c r="X98" s="761">
        <v>0</v>
      </c>
    </row>
    <row r="99" spans="1:24" s="1638" customFormat="1" ht="95.25" customHeight="1">
      <c r="A99" s="2395"/>
      <c s="514" t="s">
        <v>588</v>
      </c>
      <c r="D99" s="668" t="s">
        <v>112</v>
      </c>
      <c s="669" t="s">
        <v>934</v>
      </c>
      <c s="724" t="s">
        <v>306</v>
      </c>
      <c s="388"/>
      <c s="1026"/>
      <c s="388"/>
      <c s="1026"/>
      <c s="292" t="s">
        <v>631</v>
      </c>
      <c r="X99" s="761">
        <v>0</v>
      </c>
    </row>
    <row r="100" spans="1:24" s="1638" customFormat="1" ht="22.5" customHeight="1">
      <c r="A100" s="2395"/>
      <c s="514" t="s">
        <v>588</v>
      </c>
      <c r="D100" s="668" t="s">
        <v>150</v>
      </c>
      <c s="669" t="s">
        <v>935</v>
      </c>
      <c s="724" t="s">
        <v>306</v>
      </c>
      <c s="388"/>
      <c s="1026"/>
      <c s="388"/>
      <c s="1026"/>
      <c s="292" t="s">
        <v>631</v>
      </c>
      <c r="X100" s="761">
        <v>0</v>
      </c>
    </row>
    <row r="101" spans="1:24" s="1638" customFormat="1" ht="11.55" customHeight="1">
      <c r="A101" s="1036"/>
      <c s="521"/>
      <c r="D101" s="1037"/>
      <c s="1038"/>
      <c r="X101" s="512">
        <v>11</v>
      </c>
    </row>
    <row r="102" spans="1:24" ht="22.5" customHeight="1" hidden="1">
      <c r="A102" s="539" t="s">
        <v>81</v>
      </c>
      <c s="514">
        <v>0</v>
      </c>
      <c s="508">
        <v>3</v>
      </c>
      <c s="508">
        <v>7</v>
      </c>
      <c s="508">
        <v>69</v>
      </c>
      <c s="508">
        <v>10</v>
      </c>
      <c s="508">
        <v>0</v>
      </c>
      <c s="508">
        <v>0</v>
      </c>
      <c s="761">
        <v>43</v>
      </c>
      <c s="761">
        <v>43</v>
      </c>
      <c s="508">
        <v>73</v>
      </c>
      <c s="508">
        <v>3</v>
      </c>
      <c s="508">
        <v>10</v>
      </c>
      <c s="508">
        <v>10</v>
      </c>
      <c s="508">
        <v>10</v>
      </c>
      <c s="508">
        <v>10</v>
      </c>
      <c s="508">
        <v>10</v>
      </c>
      <c s="508">
        <v>10</v>
      </c>
      <c s="508">
        <v>10</v>
      </c>
      <c s="508">
        <v>10</v>
      </c>
      <c s="508">
        <v>10</v>
      </c>
      <c s="508">
        <v>10</v>
      </c>
      <c s="508">
        <v>10</v>
      </c>
      <c s="508">
        <v>23</v>
      </c>
    </row>
  </sheetData>
  <sheetProtection formatColumns="0" formatRows="0" insertRows="0" deleteColumns="0" deleteRows="0" sort="0" autoFilter="0"/>
  <mergeCells count="18">
    <mergeCell ref="D3:F3"/>
    <mergeCell ref="K7:K11"/>
    <mergeCell ref="G7:H7"/>
    <mergeCell ref="E7:F7"/>
    <mergeCell ref="E8:F8"/>
    <mergeCell ref="E9:F9"/>
    <mergeCell ref="G8:H8"/>
    <mergeCell ref="G9:H9"/>
    <mergeCell ref="D4:F4"/>
    <mergeCell ref="I7:J7"/>
    <mergeCell ref="I8:J8"/>
    <mergeCell ref="I9:J9"/>
    <mergeCell ref="D10:J10"/>
    <mergeCell ref="A37:A63"/>
    <mergeCell ref="A65:A75"/>
    <mergeCell ref="A77:A100"/>
    <mergeCell ref="A13:A35"/>
    <mergeCell ref="A11:B11"/>
  </mergeCells>
  <dataValidations count="6">
    <dataValidation type="textLength" operator="lessThanOrEqual" allowBlank="1" showInputMessage="1" showErrorMessage="1" errorTitle="Ошибка" error="Допускается ввод не более 900 символов!" sqref="H15:H18 H21:H22 H29:H30 H24 H26:H27 J26:J27 J15:J18 J21:J22 J29:J30 J24">
      <formula1>900</formula1>
    </dataValidation>
    <dataValidation type="whole" allowBlank="1" showErrorMessage="1" errorTitle="Ошибка" error="Допускается ввод только неотрицательных целых чисел!" sqref="G16:G17 I16:I17">
      <formula1>0</formula1>
      <formula2>9.99999999999999E+23</formula2>
    </dataValidation>
    <dataValidation type="decimal" allowBlank="1" showErrorMessage="1" errorTitle="Ошибка" error="Допускается ввод только неотрицательных чисел!" sqref="G13:G14 G32 G67:G68 G39:G40 G37 G44:G59 G61 G77:G94 G73 G71 G96 G65 G18 G29:G30 G26:G27 I32 I67:I68 I39:I40 I37 I44:I59 I61 I77:I94 I73 I71 I96 I65 I18 I13:I14 I29:I30 I26:I27 I21:I22 G24 G21:G22 I24">
      <formula1>0</formula1>
      <formula2>9.99999999999999E+23</formula2>
    </dataValidation>
    <dataValidation type="textLength" operator="lessThanOrEqual" allowBlank="1" showInputMessage="1" showErrorMessage="1" prompt="Введите ссылку на обосновывающие материалы, загруженные с помощью &quot;ЕИАС Web&quot;." errorTitle="Ошибка" error="Допускается ввод не более 900 символов!" sqref="H13:H14 H31:H32 J31:J32 G62:G63 G74:G75 G97:G100 I62:I63 I74:I75 I97:I100 H19 J19 J13:J14">
      <formula1>900</formula1>
    </dataValidation>
    <dataValidation type="decimal" allowBlank="1" showErrorMessage="1" errorTitle="Ошибка" error="Введите значение от 0 до 100%" sqref="G31 G95 G60 G72 G42:G43 G69:G70 I31 I95 I60 I72 I42:I43 I69:I70">
      <formula1>0</formula1>
      <formula2>100</formula2>
    </dataValidation>
    <dataValidation type="list" allowBlank="1" showInputMessage="1" prompt="Укажите значение вручную или выберите из списка" errorTitle="Ошибка" error="Укажите значение вручную или выберите из списка!" sqref="G19 I19">
      <formula1>"Не утверждены"</formula1>
    </dataValidation>
  </dataValidations>
  <pageMargins left="0.7" right="0.7" top="0.75" bottom="0.75" header="0.3" footer="0.3"/>
  <pageSetup orientation="portrait" paperSize="9"/>
</worksheet>
</file>

<file path=xl/worksheets/sheet4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m="http://schemas.microsoft.com/office/excel/2006/main" xmlns:x14ac="http://schemas.microsoft.com/office/spreadsheetml/2009/9/ac" xmlns:xr="http://schemas.microsoft.com/office/spreadsheetml/2014/revision" xmlns:xr2="http://schemas.microsoft.com/office/spreadsheetml/2015/revision2" xmlns:xr3="http://schemas.microsoft.com/office/spreadsheetml/2016/revision3" xr:uid="{E3208338-DD34-C4E3-30C6-30B54FA3A97D}" mc:Ignorable="x14ac xr xr2 xr3">
  <sheetPr>
    <tabColor rgb="FFE26B0A"/>
  </sheetPr>
  <dimension ref="A1:V40"/>
  <sheetViews>
    <sheetView showGridLines="0" zoomScale="90" zoomScaleNormal="90" workbookViewId="0" topLeftCell="A1">
      <pane xSplit="8" ySplit="31" topLeftCell="I32" activePane="bottomRight" state="frozen"/>
      <selection pane="topLeft" activeCell="A1" sqref="A1"/>
      <selection pane="bottomLeft" activeCell="A32" sqref="A32"/>
      <selection pane="topRight" activeCell="I1" sqref="I1"/>
      <selection pane="bottomRight" activeCell="A1" sqref="A1"/>
    </sheetView>
  </sheetViews>
  <sheetFormatPr defaultColWidth="10.5742857142857" defaultRowHeight="15" customHeight="1"/>
  <cols>
    <col min="1" max="1" width="9.14285714285714" style="1635" hidden="1" customWidth="1"/>
    <col min="2" max="2" width="9.14285714285714" style="1638" hidden="1" customWidth="1"/>
    <col min="3" max="3" width="4" style="686" customWidth="1"/>
    <col min="4" max="4" width="6" style="1638" customWidth="1"/>
    <col min="5" max="5" width="36" style="1638" customWidth="1"/>
    <col min="6" max="6" width="9" style="1638" customWidth="1"/>
    <col min="7" max="7" width="25.7142857142857" style="1638" hidden="1" customWidth="1"/>
    <col min="8" max="8" width="33.7142857142857" style="1638" hidden="1" customWidth="1"/>
    <col min="9" max="9" width="25.7142857142857" style="1638" customWidth="1"/>
    <col min="10" max="10" width="33" style="1638" customWidth="1"/>
    <col min="11" max="11" width="93" style="1369" customWidth="1"/>
    <col min="12" max="20" width="10" style="1638" customWidth="1"/>
    <col min="21" max="21" width="10" style="678" customWidth="1"/>
    <col min="22" max="22" width="10.5714285714286" style="1638" hidden="1"/>
  </cols>
  <sheetData>
    <row r="1" spans="3:22" s="1369" customFormat="1" ht="22.5" customHeight="1" hidden="1">
      <c r="C1" s="675"/>
      <c r="G1" s="420">
        <v>4</v>
      </c>
      <c r="I1" s="420">
        <v>4</v>
      </c>
      <c r="U1" s="423"/>
      <c s="420" t="s">
        <v>14</v>
      </c>
    </row>
    <row r="2" spans="3:22" s="1369" customFormat="1" ht="15" customHeight="1" hidden="1">
      <c r="C2" s="675"/>
      <c r="U2" s="423"/>
      <c s="420">
        <v>0</v>
      </c>
    </row>
    <row r="3" spans="1:22" ht="22.5" customHeight="1" hidden="1">
      <c r="A3" s="508"/>
      <c s="2400"/>
      <c s="2401" t="s">
        <v>689</v>
      </c>
      <c s="692" t="str">
        <f>B3&amp;".1"</f>
        <v>.1</v>
      </c>
      <c s="693" t="s">
        <v>936</v>
      </c>
      <c s="694" t="s">
        <v>306</v>
      </c>
      <c s="689"/>
      <c s="404"/>
      <c s="689"/>
      <c s="404"/>
      <c s="292" t="s">
        <v>937</v>
      </c>
      <c r="V3" s="508">
        <v>0</v>
      </c>
    </row>
    <row r="4" spans="1:22" ht="15" customHeight="1" hidden="1">
      <c r="A4" s="508"/>
      <c s="2400"/>
      <c s="2401"/>
      <c s="692" t="str">
        <f>B3&amp;".2"</f>
        <v>.2</v>
      </c>
      <c s="693" t="s">
        <v>938</v>
      </c>
      <c s="694" t="s">
        <v>306</v>
      </c>
      <c s="1741" t="s">
        <v>22</v>
      </c>
      <c s="404"/>
      <c s="1741" t="s">
        <v>22</v>
      </c>
      <c s="404"/>
      <c s="292" t="s">
        <v>939</v>
      </c>
      <c r="V4" s="508">
        <v>0</v>
      </c>
    </row>
    <row r="5" spans="3:22" s="1369" customFormat="1" ht="15" customHeight="1" hidden="1">
      <c r="C5" s="675"/>
      <c r="U5" s="423"/>
      <c s="420">
        <v>0</v>
      </c>
    </row>
    <row r="6" spans="1:22" ht="22.5" customHeight="1" hidden="1">
      <c r="A6" s="508"/>
      <c s="2400"/>
      <c s="2401" t="s">
        <v>689</v>
      </c>
      <c s="692" t="str">
        <f>B6&amp;".1"</f>
        <v>.1</v>
      </c>
      <c s="693" t="s">
        <v>940</v>
      </c>
      <c s="694" t="s">
        <v>306</v>
      </c>
      <c s="689"/>
      <c s="404"/>
      <c s="689"/>
      <c s="404"/>
      <c s="292" t="s">
        <v>941</v>
      </c>
      <c r="V6" s="508">
        <v>0</v>
      </c>
    </row>
    <row r="7" spans="1:22" ht="15" customHeight="1" hidden="1">
      <c r="A7" s="508"/>
      <c s="2400"/>
      <c s="2401"/>
      <c s="692" t="str">
        <f>B6&amp;".2"</f>
        <v>.2</v>
      </c>
      <c s="693" t="s">
        <v>938</v>
      </c>
      <c s="694" t="s">
        <v>306</v>
      </c>
      <c s="1741" t="s">
        <v>22</v>
      </c>
      <c s="404"/>
      <c s="1741" t="s">
        <v>22</v>
      </c>
      <c s="404"/>
      <c s="292" t="s">
        <v>939</v>
      </c>
      <c r="V7" s="508">
        <v>0</v>
      </c>
    </row>
    <row r="8" spans="3:22" s="1369" customFormat="1" ht="15" customHeight="1" hidden="1">
      <c r="C8" s="675"/>
      <c r="U8" s="423"/>
      <c s="420">
        <v>0</v>
      </c>
    </row>
    <row r="9" spans="1:22" ht="22.5" customHeight="1" hidden="1">
      <c r="A9" s="508"/>
      <c s="2400"/>
      <c s="2401" t="s">
        <v>689</v>
      </c>
      <c s="692" t="str">
        <f>B9&amp;".1"</f>
        <v>.1</v>
      </c>
      <c s="693" t="s">
        <v>942</v>
      </c>
      <c s="694" t="s">
        <v>306</v>
      </c>
      <c s="700" t="s">
        <v>22</v>
      </c>
      <c s="404" t="s">
        <v>22</v>
      </c>
      <c s="700" t="s">
        <v>22</v>
      </c>
      <c s="404" t="s">
        <v>22</v>
      </c>
      <c s="292"/>
      <c r="V9" s="508">
        <v>0</v>
      </c>
    </row>
    <row r="10" spans="1:22" ht="15" customHeight="1" hidden="1">
      <c r="A10" s="508"/>
      <c s="2400"/>
      <c s="2401"/>
      <c s="692" t="str">
        <f>B9&amp;".2"</f>
        <v>.2</v>
      </c>
      <c s="693" t="s">
        <v>943</v>
      </c>
      <c s="694" t="s">
        <v>306</v>
      </c>
      <c s="1735" t="s">
        <v>22</v>
      </c>
      <c s="404" t="s">
        <v>22</v>
      </c>
      <c s="1735" t="s">
        <v>22</v>
      </c>
      <c s="404" t="s">
        <v>22</v>
      </c>
      <c s="292" t="s">
        <v>944</v>
      </c>
      <c r="V10" s="508">
        <v>0</v>
      </c>
    </row>
    <row r="11" spans="1:22" ht="15" customHeight="1" hidden="1">
      <c r="A11" s="508"/>
      <c s="2400"/>
      <c s="2401"/>
      <c s="692" t="str">
        <f>B9&amp;".3"</f>
        <v>.3</v>
      </c>
      <c s="693" t="s">
        <v>945</v>
      </c>
      <c s="694" t="s">
        <v>306</v>
      </c>
      <c s="1735" t="s">
        <v>22</v>
      </c>
      <c s="404" t="s">
        <v>22</v>
      </c>
      <c s="1735" t="s">
        <v>22</v>
      </c>
      <c s="404" t="s">
        <v>22</v>
      </c>
      <c s="292" t="s">
        <v>946</v>
      </c>
      <c r="V11" s="508">
        <v>0</v>
      </c>
    </row>
    <row r="12" spans="3:22" s="1369" customFormat="1" ht="15" customHeight="1" hidden="1">
      <c r="C12" s="675"/>
      <c r="U12" s="423"/>
      <c s="420">
        <v>0</v>
      </c>
    </row>
    <row r="13" spans="1:22" ht="33.75" customHeight="1" hidden="1">
      <c r="A13" s="508"/>
      <c s="2400"/>
      <c s="2401" t="s">
        <v>689</v>
      </c>
      <c s="692" t="str">
        <f>B13&amp;".1"</f>
        <v>.1</v>
      </c>
      <c s="693" t="s">
        <v>947</v>
      </c>
      <c s="694" t="s">
        <v>306</v>
      </c>
      <c s="700" t="s">
        <v>22</v>
      </c>
      <c s="404" t="s">
        <v>22</v>
      </c>
      <c s="700" t="s">
        <v>22</v>
      </c>
      <c s="404" t="s">
        <v>22</v>
      </c>
      <c s="292" t="s">
        <v>948</v>
      </c>
      <c r="V13" s="508">
        <v>0</v>
      </c>
    </row>
    <row r="14" spans="2:22" ht="15" customHeight="1" hidden="1">
      <c r="B14" s="2400"/>
      <c s="2401"/>
      <c s="692" t="str">
        <f>B13&amp;".2"</f>
        <v>.2</v>
      </c>
      <c s="693" t="s">
        <v>949</v>
      </c>
      <c s="694" t="s">
        <v>306</v>
      </c>
      <c s="1735" t="s">
        <v>22</v>
      </c>
      <c s="404" t="s">
        <v>22</v>
      </c>
      <c s="1735" t="s">
        <v>22</v>
      </c>
      <c s="404" t="s">
        <v>22</v>
      </c>
      <c s="292" t="s">
        <v>950</v>
      </c>
      <c r="V14" s="508">
        <v>0</v>
      </c>
    </row>
    <row r="15" spans="3:22" s="1369" customFormat="1" ht="15" customHeight="1" hidden="1">
      <c r="C15" s="675"/>
      <c r="U15" s="423"/>
      <c s="420">
        <v>0</v>
      </c>
    </row>
    <row r="16" spans="3:22" s="1369" customFormat="1" ht="15" customHeight="1" hidden="1">
      <c r="C16" s="675"/>
      <c r="U16" s="423"/>
      <c s="420">
        <v>0</v>
      </c>
    </row>
    <row r="17" spans="3:22" s="1369" customFormat="1" ht="15" customHeight="1" hidden="1">
      <c r="C17" s="675"/>
      <c r="U17" s="423"/>
      <c s="420">
        <v>0</v>
      </c>
    </row>
    <row r="18" spans="3:22" s="1369" customFormat="1" ht="15" customHeight="1" hidden="1">
      <c r="C18" s="675"/>
      <c r="U18" s="423"/>
      <c s="420">
        <v>0</v>
      </c>
    </row>
    <row r="19" spans="3:22" s="1369" customFormat="1" ht="15" customHeight="1" hidden="1">
      <c r="C19" s="675"/>
      <c r="U19" s="423"/>
      <c s="420">
        <v>0</v>
      </c>
    </row>
    <row r="20" spans="3:22" s="1369" customFormat="1" ht="15" customHeight="1" hidden="1">
      <c r="C20" s="675"/>
      <c r="U20" s="423"/>
      <c s="420">
        <v>0</v>
      </c>
    </row>
    <row r="21" spans="3:22" ht="15.75" customHeight="1">
      <c r="C21" s="179"/>
      <c s="512"/>
      <c s="512"/>
      <c s="512"/>
      <c s="512"/>
      <c s="512"/>
      <c s="512"/>
      <c s="512"/>
      <c r="V21" s="508">
        <v>15</v>
      </c>
    </row>
    <row r="22" spans="3:22" ht="23.25" customHeight="1">
      <c r="C22" s="179"/>
      <c s="2240" t="str">
        <f>KNE_NAME_FORM</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s="2240"/>
      <c s="2240"/>
      <c s="2240"/>
      <c s="2240"/>
      <c s="2240"/>
      <c s="679"/>
      <c s="540"/>
      <c r="V22" s="508">
        <v>22</v>
      </c>
    </row>
    <row r="23" spans="3:22" ht="15.75" customHeight="1">
      <c r="C23" s="179"/>
      <c s="2179" t="str">
        <f>IF(org=0,"Не определено",org)</f>
        <v>ГУП КК "Кубаньводкомплекс"</v>
      </c>
      <c s="2179"/>
      <c s="2179"/>
      <c s="2179"/>
      <c s="2179"/>
      <c s="2179"/>
      <c s="679"/>
      <c s="540"/>
      <c r="V23" s="508">
        <v>15</v>
      </c>
    </row>
    <row r="24" spans="3:22" ht="15.75" customHeight="1">
      <c r="C24" s="179"/>
      <c s="512"/>
      <c s="512"/>
      <c s="512"/>
      <c s="540">
        <v>22</v>
      </c>
      <c s="755"/>
      <c s="540">
        <v>22</v>
      </c>
      <c s="755"/>
      <c r="V24" s="508">
        <v>15</v>
      </c>
    </row>
    <row r="25" spans="1:22" s="1638" customFormat="1" ht="1.05" customHeight="1">
      <c r="A25" s="762"/>
      <c r="C25" s="179"/>
      <c s="512"/>
      <c s="512"/>
      <c s="512"/>
      <c s="540"/>
      <c s="755"/>
      <c s="540" t="s">
        <v>118</v>
      </c>
      <c s="755"/>
      <c s="420"/>
      <c r="U25" s="678"/>
      <c s="761">
        <v>1</v>
      </c>
    </row>
    <row r="26" spans="3:22" ht="15.75" customHeight="1">
      <c r="C26" s="179"/>
      <c s="714"/>
      <c s="2370" t="s">
        <v>105</v>
      </c>
      <c s="2371"/>
      <c s="2398" t="str">
        <f>IF(G25="","",INDEX(DIFFERENTIATION_UNMERGE_VD,MATCH(G25,DIFFERENTIATION_ID_DIFF,0)))</f>
        <v/>
      </c>
      <c s="2399"/>
      <c s="2398" t="str">
        <f>IF(I25="","",INDEX(DIFFERENTIATION_UNMERGE_VD,MATCH(I25,DIFFERENTIATION_ID_DIFF,0)))</f>
        <v>Водоотведение; Транспортировка; Подключение (технологическое присоединение) к централизованной системе водоотведения</v>
      </c>
      <c s="2399"/>
      <c s="2178" t="s">
        <v>301</v>
      </c>
      <c r="V26" s="508">
        <v>15</v>
      </c>
    </row>
    <row r="27" spans="1:22" s="1638" customFormat="1" ht="15.75" customHeight="1">
      <c r="A27" s="762"/>
      <c r="C27" s="179"/>
      <c s="714"/>
      <c s="2370" t="s">
        <v>564</v>
      </c>
      <c s="2371"/>
      <c s="2398" t="str">
        <f>IF(G25="","",INDEX(DIFFERENTIATION_UNMERGE_AREA,MATCH(G25,DIFFERENTIATION_ID_DIFF,0)))</f>
        <v/>
      </c>
      <c s="2399"/>
      <c s="2398" t="str">
        <f>IF(I25="","",INDEX(DIFFERENTIATION_UNMERGE_AREA,MATCH(I25,DIFFERENTIATION_ID_DIFF,0)))</f>
        <v>Территория 1</v>
      </c>
      <c s="2399"/>
      <c s="2198"/>
      <c r="U27" s="678"/>
      <c s="761">
        <v>15</v>
      </c>
    </row>
    <row r="28" spans="1:22" s="1638" customFormat="1" ht="15.75" customHeight="1">
      <c r="A28" s="762"/>
      <c r="C28" s="179"/>
      <c s="714"/>
      <c s="2370" t="s">
        <v>565</v>
      </c>
      <c s="2371"/>
      <c s="2398" t="str">
        <f>IF(G25="","",INDEX(DIFFERENTIATION_UNMERGE_SYSTEM,MATCH(G25,DIFFERENTIATION_ID_DIFF,0)))</f>
        <v/>
      </c>
      <c s="2399"/>
      <c s="2398" t="str">
        <f>IF(I25="","",INDEX(DIFFERENTIATION_UNMERGE_SYSTEM,MATCH(I25,DIFFERENTIATION_ID_DIFF,0)))</f>
        <v>Ейский групповой водопровод (разводящие сети)</v>
      </c>
      <c s="2399"/>
      <c s="2198"/>
      <c r="U28" s="678"/>
      <c s="761">
        <v>15</v>
      </c>
    </row>
    <row r="29" spans="1:22" s="1638" customFormat="1" ht="15.75" customHeight="1">
      <c r="A29" s="762"/>
      <c r="C29" s="179"/>
      <c s="2372" t="s">
        <v>300</v>
      </c>
      <c s="2373"/>
      <c s="2373"/>
      <c s="890"/>
      <c s="890"/>
      <c s="890"/>
      <c s="891"/>
      <c s="2198"/>
      <c r="U29" s="678"/>
      <c s="761">
        <v>15</v>
      </c>
    </row>
    <row r="30" spans="3:22" ht="35.7" customHeight="1">
      <c r="C30" s="179"/>
      <c s="764" t="s">
        <v>87</v>
      </c>
      <c s="763" t="s">
        <v>302</v>
      </c>
      <c s="763" t="s">
        <v>566</v>
      </c>
      <c s="811" t="s">
        <v>303</v>
      </c>
      <c s="810" t="s">
        <v>390</v>
      </c>
      <c s="687" t="s">
        <v>303</v>
      </c>
      <c s="468" t="s">
        <v>390</v>
      </c>
      <c s="2204"/>
      <c r="V30" s="508">
        <v>34</v>
      </c>
    </row>
    <row r="31" spans="3:22" ht="15" customHeight="1" hidden="1">
      <c r="C31" s="179"/>
      <c s="596"/>
      <c s="596"/>
      <c s="596"/>
      <c s="662"/>
      <c s="662"/>
      <c s="662"/>
      <c s="662"/>
      <c s="292"/>
      <c r="V31" s="508">
        <v>0</v>
      </c>
    </row>
    <row r="32" spans="1:22" ht="24" customHeight="1">
      <c r="A32" s="508"/>
      <c s="508" t="s">
        <v>951</v>
      </c>
      <c s="529"/>
      <c s="695">
        <v>1</v>
      </c>
      <c s="696" t="s">
        <v>952</v>
      </c>
      <c s="694" t="s">
        <v>306</v>
      </c>
      <c s="816" t="s">
        <v>306</v>
      </c>
      <c s="816" t="s">
        <v>306</v>
      </c>
      <c s="694" t="s">
        <v>306</v>
      </c>
      <c s="694" t="s">
        <v>306</v>
      </c>
      <c s="292"/>
      <c r="V32" s="508">
        <v>23</v>
      </c>
    </row>
    <row r="33" spans="1:22" ht="11.55" customHeight="1">
      <c r="A33" s="508"/>
      <c r="C33" s="508"/>
      <c s="350"/>
      <c s="583" t="s">
        <v>586</v>
      </c>
      <c s="575"/>
      <c s="575"/>
      <c s="575"/>
      <c s="575"/>
      <c s="575"/>
      <c s="576"/>
      <c r="U33" s="508"/>
      <c s="508">
        <v>11</v>
      </c>
    </row>
    <row r="34" spans="1:22" ht="24" customHeight="1">
      <c r="A34" s="508"/>
      <c s="584" t="s">
        <v>636</v>
      </c>
      <c s="529"/>
      <c s="695">
        <v>2</v>
      </c>
      <c s="696" t="s">
        <v>953</v>
      </c>
      <c s="823" t="s">
        <v>306</v>
      </c>
      <c s="823" t="s">
        <v>306</v>
      </c>
      <c s="823" t="s">
        <v>306</v>
      </c>
      <c s="694"/>
      <c s="694"/>
      <c s="292"/>
      <c r="V34" s="508">
        <v>23</v>
      </c>
    </row>
    <row r="35" spans="1:22" ht="11.55" customHeight="1">
      <c r="A35" s="508"/>
      <c r="C35" s="508"/>
      <c s="350"/>
      <c s="583" t="s">
        <v>954</v>
      </c>
      <c s="575"/>
      <c s="697"/>
      <c s="575"/>
      <c s="697"/>
      <c s="575"/>
      <c s="576"/>
      <c r="U35" s="508"/>
      <c s="508">
        <v>11</v>
      </c>
    </row>
    <row r="36" spans="1:22" ht="71.25" customHeight="1">
      <c r="A36" s="508"/>
      <c s="508" t="s">
        <v>955</v>
      </c>
      <c s="529"/>
      <c s="695">
        <v>3</v>
      </c>
      <c s="696" t="s">
        <v>956</v>
      </c>
      <c s="698" t="s">
        <v>306</v>
      </c>
      <c s="817" t="s">
        <v>957</v>
      </c>
      <c s="816" t="s">
        <v>306</v>
      </c>
      <c s="527" t="s">
        <v>957</v>
      </c>
      <c s="694" t="s">
        <v>306</v>
      </c>
      <c s="292" t="s">
        <v>958</v>
      </c>
      <c r="V36" s="508">
        <v>68</v>
      </c>
    </row>
    <row r="37" spans="1:22" ht="11.55" customHeight="1">
      <c r="A37" s="508"/>
      <c r="C37" s="508"/>
      <c s="350"/>
      <c s="583" t="s">
        <v>959</v>
      </c>
      <c s="575"/>
      <c s="697"/>
      <c s="697"/>
      <c s="697"/>
      <c s="697"/>
      <c s="576"/>
      <c r="U37" s="508"/>
      <c s="508">
        <v>11</v>
      </c>
    </row>
    <row r="38" spans="1:22" ht="71.25" customHeight="1">
      <c r="A38" s="508"/>
      <c s="508" t="s">
        <v>960</v>
      </c>
      <c s="529"/>
      <c s="695">
        <v>4</v>
      </c>
      <c s="696" t="s">
        <v>961</v>
      </c>
      <c s="698" t="s">
        <v>306</v>
      </c>
      <c s="817" t="s">
        <v>957</v>
      </c>
      <c s="818" t="s">
        <v>306</v>
      </c>
      <c s="527" t="s">
        <v>957</v>
      </c>
      <c s="524" t="s">
        <v>306</v>
      </c>
      <c s="682" t="s">
        <v>962</v>
      </c>
      <c r="V38" s="508">
        <v>68</v>
      </c>
    </row>
    <row r="39" spans="1:22" ht="11.55" customHeight="1">
      <c r="A39" s="508"/>
      <c r="C39" s="508"/>
      <c s="350"/>
      <c s="583" t="s">
        <v>963</v>
      </c>
      <c s="575"/>
      <c s="575"/>
      <c s="699"/>
      <c s="575"/>
      <c s="699"/>
      <c s="576"/>
      <c r="U39" s="508"/>
      <c s="508">
        <v>11</v>
      </c>
    </row>
    <row r="40" spans="1:22" ht="22.5" customHeight="1" hidden="1">
      <c r="A40" s="452" t="s">
        <v>81</v>
      </c>
      <c s="508">
        <v>0</v>
      </c>
      <c s="686">
        <v>4</v>
      </c>
      <c s="508">
        <v>6</v>
      </c>
      <c s="508">
        <v>36</v>
      </c>
      <c s="508">
        <v>9</v>
      </c>
      <c s="761">
        <v>0</v>
      </c>
      <c s="761">
        <v>0</v>
      </c>
      <c s="508">
        <v>25</v>
      </c>
      <c s="508">
        <v>33</v>
      </c>
      <c s="420">
        <v>93</v>
      </c>
      <c s="508">
        <v>10</v>
      </c>
      <c s="508">
        <v>10</v>
      </c>
      <c s="508">
        <v>10</v>
      </c>
      <c s="508">
        <v>10</v>
      </c>
      <c s="508">
        <v>10</v>
      </c>
      <c s="508">
        <v>10</v>
      </c>
      <c s="508">
        <v>10</v>
      </c>
      <c s="508">
        <v>10</v>
      </c>
      <c s="508">
        <v>10</v>
      </c>
      <c s="678">
        <v>10</v>
      </c>
      <c s="508">
        <v>23</v>
      </c>
    </row>
  </sheetData>
  <sheetProtection formatColumns="0" formatRows="0" insertRows="0" deleteColumns="0" deleteRows="0" sort="0" autoFilter="0"/>
  <mergeCells count="21">
    <mergeCell ref="B3:B4"/>
    <mergeCell ref="C3:C4"/>
    <mergeCell ref="B6:B7"/>
    <mergeCell ref="C6:C7"/>
    <mergeCell ref="B9:B11"/>
    <mergeCell ref="C9:C11"/>
    <mergeCell ref="B13:B14"/>
    <mergeCell ref="C13:C14"/>
    <mergeCell ref="D22:I22"/>
    <mergeCell ref="D23:I23"/>
    <mergeCell ref="I26:J26"/>
    <mergeCell ref="E26:F26"/>
    <mergeCell ref="G28:H28"/>
    <mergeCell ref="K26:K30"/>
    <mergeCell ref="E27:F27"/>
    <mergeCell ref="E28:F28"/>
    <mergeCell ref="I27:J27"/>
    <mergeCell ref="I28:J28"/>
    <mergeCell ref="G26:H26"/>
    <mergeCell ref="G27:H27"/>
    <mergeCell ref="D29:F29"/>
  </mergeCells>
  <dataValidations count="5">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30"/>
    <dataValidation type="textLength" operator="lessThanOrEqual" allowBlank="1" showInputMessage="1" showErrorMessage="1" errorTitle="Ошибка" error="Допускается ввод не более 900 символов!" sqref="G3 I3 I6 I9 I13 G6 G13 G9">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4 I14 I4 I10:I11 G7 G14 I7 G10:G11"/>
    <dataValidation type="textLength" operator="lessThanOrEqual" allowBlank="1" showInputMessage="1" showErrorMessage="1" prompt="Введите ссылку на обосновывающие материалы, загруженные с помощью &quot;ЕИАС Web&quot;." errorTitle="Ошибка" error="Допускается ввод не более 900 символов!" sqref="H3:H4 J3:J4 H6:H7 J6:J7 J9:J11 H9:H11 J13:J14 H13:H14">
      <formula1>900</formula1>
    </dataValidation>
    <dataValidation allowBlank="1" showInputMessage="1" showErrorMessage="1" prompt="Для выбора выполните двойной щелчок левой клавиши мыши по ячейке." sqref="G36 I36 G38 I38"/>
  </dataValidations>
  <pageMargins left="0.7" right="0.7" top="0.75" bottom="0.75" header="0.3" footer="0.3"/>
  <pageSetup orientation="portrait" paperSize="9"/>
</worksheet>
</file>

<file path=xl/worksheets/sheet4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m="http://schemas.microsoft.com/office/excel/2006/main" xmlns:x14ac="http://schemas.microsoft.com/office/spreadsheetml/2009/9/ac" xmlns:xr="http://schemas.microsoft.com/office/spreadsheetml/2014/revision" xmlns:xr2="http://schemas.microsoft.com/office/spreadsheetml/2015/revision2" xmlns:xr3="http://schemas.microsoft.com/office/spreadsheetml/2016/revision3" xr:uid="{7C15C4D8-F125-2EDB-DD76-A8FA4AF63618}" mc:Ignorable="x14ac xr xr2 xr3">
  <sheetPr>
    <tabColor theme="9" tint="-0.249980002641678"/>
  </sheetPr>
  <dimension ref="A1:AE16"/>
  <sheetViews>
    <sheetView showGridLines="0" zoomScale="85" zoomScaleNormal="85" workbookViewId="0" topLeftCell="A1">
      <pane xSplit="7" ySplit="10" topLeftCell="H11" activePane="bottomRight" state="frozen"/>
      <selection pane="topLeft" activeCell="A1" sqref="A1"/>
      <selection pane="bottomLeft" activeCell="A11" sqref="A11"/>
      <selection pane="topRight" activeCell="H1" sqref="H1"/>
      <selection pane="bottomRight" activeCell="A1" sqref="A1"/>
    </sheetView>
  </sheetViews>
  <sheetFormatPr defaultColWidth="9.14428571428571" defaultRowHeight="10.5" customHeight="1"/>
  <cols>
    <col min="1" max="3" width="6.71428571428571" style="1169" hidden="1" customWidth="1"/>
    <col min="4" max="4" width="6.71428571428571" style="1369" hidden="1" customWidth="1"/>
    <col min="5" max="5" width="3" style="1638" customWidth="1"/>
    <col min="6" max="6" width="6" style="1638" customWidth="1"/>
    <col min="7" max="7" width="37" style="1638" customWidth="1"/>
    <col min="8" max="8" width="16" style="1638" customWidth="1"/>
    <col min="9" max="10" width="19" style="1638" customWidth="1"/>
    <col min="11" max="11" width="24" style="1638" customWidth="1"/>
    <col min="12" max="13" width="25" style="1638" customWidth="1"/>
    <col min="14" max="16" width="17" style="1638" customWidth="1"/>
    <col min="17" max="24" width="19" style="1638" customWidth="1"/>
    <col min="25" max="25" width="7" style="1638" customWidth="1"/>
    <col min="26" max="26" width="3" style="1638" customWidth="1"/>
    <col min="27" max="27" width="6" style="1638" customWidth="1"/>
    <col min="28" max="28" width="34" style="1638" customWidth="1"/>
    <col min="29" max="30" width="8" style="1638" customWidth="1"/>
    <col min="31" max="31" width="9.14285714285714" style="1638" hidden="1"/>
  </cols>
  <sheetData>
    <row r="1" spans="1:31" s="1369" customFormat="1" ht="10.5" customHeight="1" hidden="1">
      <c r="A1" s="898"/>
      <c s="898"/>
      <c s="898"/>
      <c r="E1" s="540"/>
      <c r="H1" s="1163"/>
      <c r="AE1" s="420" t="s">
        <v>14</v>
      </c>
    </row>
    <row r="2" spans="31:31" ht="10.5" customHeight="1" hidden="1">
      <c r="AE2" s="761">
        <v>0</v>
      </c>
    </row>
    <row r="3" spans="1:31" s="1635" customFormat="1" ht="10.5" customHeight="1" hidden="1">
      <c r="A3" s="898"/>
      <c s="898"/>
      <c s="898"/>
      <c s="420"/>
      <c s="365"/>
      <c r="G3" s="1635" t="s">
        <v>964</v>
      </c>
      <c s="1159"/>
      <c r="AE3" s="762">
        <v>0</v>
      </c>
    </row>
    <row r="4" spans="31:31" ht="3" customHeight="1">
      <c r="AE4" s="761">
        <v>3</v>
      </c>
    </row>
    <row r="5" spans="6:31" ht="27.3" customHeight="1">
      <c r="F5" s="2251" t="str">
        <f>IP_NAME_FORM</f>
        <v>Форма 7. Информация об инвестиционных программах организации водоотведения и отчетах об их исполнении</v>
      </c>
      <c s="2251"/>
      <c s="2251"/>
      <c s="2251"/>
      <c s="2251"/>
      <c s="2251"/>
      <c r="M5" s="585"/>
      <c r="AB5" s="909"/>
      <c r="AE5" s="761">
        <v>26</v>
      </c>
    </row>
    <row r="6" spans="1:31" s="1638" customFormat="1" ht="16.8" customHeight="1">
      <c r="A6" s="1169"/>
      <c s="1169"/>
      <c s="1169"/>
      <c s="1163"/>
      <c s="1638"/>
      <c s="2252" t="str">
        <f>IF(org=0,"Не определено",org)</f>
        <v>ГУП КК "Кубаньводкомплекс"</v>
      </c>
      <c s="2252"/>
      <c s="2252"/>
      <c s="2252"/>
      <c s="2252"/>
      <c s="2252"/>
      <c r="M6" s="585"/>
      <c r="AB6" s="1151"/>
      <c r="AE6" s="1634">
        <v>16</v>
      </c>
    </row>
    <row r="7" spans="31:31" ht="10.5" customHeight="1">
      <c r="AE7" s="761">
        <v>10</v>
      </c>
    </row>
    <row r="8" spans="1:31" ht="10.5" customHeight="1">
      <c r="A8" s="1054"/>
      <c s="1054"/>
      <c s="1054"/>
      <c r="F8" s="2104" t="s">
        <v>300</v>
      </c>
      <c s="2105"/>
      <c s="2105"/>
      <c s="2105"/>
      <c s="2105"/>
      <c s="2105"/>
      <c s="2105"/>
      <c s="2105"/>
      <c s="2105"/>
      <c s="2105"/>
      <c s="2105"/>
      <c s="2105"/>
      <c s="2105"/>
      <c s="2105"/>
      <c s="2105"/>
      <c s="2105"/>
      <c s="2105"/>
      <c s="2105"/>
      <c s="2105"/>
      <c s="2105"/>
      <c s="2105"/>
      <c s="2105"/>
      <c s="2106"/>
      <c r="AE8" s="761">
        <v>10</v>
      </c>
    </row>
    <row r="9" spans="1:31" ht="43.05" customHeight="1">
      <c r="A9" s="908"/>
      <c s="908"/>
      <c s="908"/>
      <c r="F9" s="2130" t="s">
        <v>87</v>
      </c>
      <c s="2130" t="s">
        <v>964</v>
      </c>
      <c s="2178" t="s">
        <v>965</v>
      </c>
      <c s="2130" t="s">
        <v>966</v>
      </c>
      <c s="2130" t="s">
        <v>967</v>
      </c>
      <c s="2130" t="s">
        <v>968</v>
      </c>
      <c s="2130" t="s">
        <v>969</v>
      </c>
      <c s="2130" t="s">
        <v>970</v>
      </c>
      <c s="2212" t="s">
        <v>971</v>
      </c>
      <c s="2212"/>
      <c s="2212"/>
      <c s="2402" t="s">
        <v>972</v>
      </c>
      <c s="2403"/>
      <c s="2403"/>
      <c s="2404"/>
      <c s="2402" t="s">
        <v>973</v>
      </c>
      <c s="2403"/>
      <c s="2403"/>
      <c s="2404"/>
      <c s="2104" t="s">
        <v>974</v>
      </c>
      <c s="2105"/>
      <c s="2105"/>
      <c s="2106"/>
      <c r="AE9" s="761">
        <v>41</v>
      </c>
    </row>
    <row r="10" spans="1:31" ht="43.05" customHeight="1">
      <c r="A10" s="908"/>
      <c s="908"/>
      <c s="908"/>
      <c r="F10" s="2178"/>
      <c s="2178"/>
      <c s="2235"/>
      <c s="2178"/>
      <c s="2178"/>
      <c s="2178"/>
      <c s="2178"/>
      <c s="2178"/>
      <c s="906" t="s">
        <v>975</v>
      </c>
      <c s="906" t="s">
        <v>976</v>
      </c>
      <c s="907" t="s">
        <v>977</v>
      </c>
      <c s="918" t="s">
        <v>88</v>
      </c>
      <c s="918" t="s">
        <v>978</v>
      </c>
      <c s="918" t="s">
        <v>979</v>
      </c>
      <c s="919" t="s">
        <v>980</v>
      </c>
      <c s="918" t="s">
        <v>88</v>
      </c>
      <c s="918" t="s">
        <v>981</v>
      </c>
      <c s="918" t="s">
        <v>979</v>
      </c>
      <c s="919" t="s">
        <v>980</v>
      </c>
      <c s="304" t="s">
        <v>982</v>
      </c>
      <c s="2104" t="s">
        <v>87</v>
      </c>
      <c s="2106"/>
      <c s="1052" t="s">
        <v>983</v>
      </c>
      <c r="AE10" s="761">
        <v>41</v>
      </c>
    </row>
    <row r="11" spans="1:31" s="1645" customFormat="1" ht="5.25" customHeight="1" hidden="1">
      <c r="A11" s="1055"/>
      <c s="1055"/>
      <c s="1055"/>
      <c r="E11" s="1053"/>
      <c s="2409" t="s">
        <v>376</v>
      </c>
      <c s="2406"/>
      <c s="2405"/>
      <c s="2405"/>
      <c s="2405"/>
      <c s="2407"/>
      <c s="2407"/>
      <c s="2407"/>
      <c s="2405"/>
      <c s="2405"/>
      <c s="2130"/>
      <c s="2182"/>
      <c s="2182"/>
      <c s="2182"/>
      <c s="2405"/>
      <c s="2182"/>
      <c s="2182"/>
      <c s="2182"/>
      <c s="2405"/>
      <c s="2111"/>
      <c s="2111"/>
      <c s="2111"/>
      <c s="2111"/>
      <c r="AD11" s="514" t="s">
        <v>984</v>
      </c>
      <c s="514">
        <v>0</v>
      </c>
    </row>
    <row r="12" spans="1:31" s="1645" customFormat="1" ht="5.25" customHeight="1" hidden="1">
      <c r="A12" s="899"/>
      <c s="899"/>
      <c s="899"/>
      <c r="E12" s="521"/>
      <c s="2409"/>
      <c s="2406"/>
      <c s="2405"/>
      <c s="2405"/>
      <c s="2405"/>
      <c s="2407"/>
      <c s="2407"/>
      <c s="2407"/>
      <c s="2405"/>
      <c s="2405"/>
      <c s="2130"/>
      <c s="2182"/>
      <c s="2182"/>
      <c s="2182"/>
      <c s="2405"/>
      <c s="2182"/>
      <c s="2182"/>
      <c s="2182"/>
      <c s="2405"/>
      <c s="2408"/>
      <c s="2408"/>
      <c s="2408"/>
      <c s="2408"/>
      <c r="AE12" s="514">
        <v>0</v>
      </c>
    </row>
    <row r="13" spans="6:31" ht="10.5" customHeight="1">
      <c r="F13" s="905"/>
      <c s="653" t="s">
        <v>985</v>
      </c>
      <c s="1171"/>
      <c s="575"/>
      <c s="575"/>
      <c s="575"/>
      <c s="575"/>
      <c s="575"/>
      <c s="575"/>
      <c s="575"/>
      <c s="575"/>
      <c s="575"/>
      <c s="575"/>
      <c s="575"/>
      <c s="575"/>
      <c s="575"/>
      <c s="575"/>
      <c s="575"/>
      <c s="575"/>
      <c s="575"/>
      <c s="699"/>
      <c s="699"/>
      <c s="920"/>
      <c r="AE13" s="761">
        <v>10</v>
      </c>
    </row>
    <row r="14" spans="31:31" ht="10.5" customHeight="1">
      <c r="AE14" s="761">
        <v>10</v>
      </c>
    </row>
    <row r="15" spans="1:31" s="1645" customFormat="1" ht="10.5" customHeight="1">
      <c r="A15" s="1170"/>
      <c s="1170"/>
      <c s="1170"/>
      <c r="E15" s="521"/>
      <c r="H15" s="514">
        <f>IFERROR(MATCH("нет",IP_MAIN_DIFFERENTIATION_EVENTS_FLAG,0),0)</f>
        <v>0</v>
      </c>
      <c r="AE15" s="514">
        <v>10</v>
      </c>
    </row>
    <row r="16" spans="1:31" ht="10.5" customHeight="1" hidden="1">
      <c r="A16" s="898" t="s">
        <v>81</v>
      </c>
      <c s="898">
        <v>0</v>
      </c>
      <c s="898">
        <v>0</v>
      </c>
      <c s="420">
        <v>0</v>
      </c>
      <c s="512">
        <v>3</v>
      </c>
      <c s="761">
        <v>6</v>
      </c>
      <c s="761">
        <v>37</v>
      </c>
      <c s="1158">
        <v>16</v>
      </c>
      <c s="761">
        <v>19</v>
      </c>
      <c s="761">
        <v>19</v>
      </c>
      <c s="761">
        <v>24</v>
      </c>
      <c s="761">
        <v>25</v>
      </c>
      <c s="761">
        <v>25</v>
      </c>
      <c s="761">
        <v>17</v>
      </c>
      <c s="761">
        <v>17</v>
      </c>
      <c s="761">
        <v>17</v>
      </c>
      <c s="761">
        <v>19</v>
      </c>
      <c s="761">
        <v>19</v>
      </c>
      <c s="761">
        <v>19</v>
      </c>
      <c s="761">
        <v>19</v>
      </c>
      <c s="761">
        <v>19</v>
      </c>
      <c s="761">
        <v>19</v>
      </c>
      <c s="761">
        <v>19</v>
      </c>
      <c s="761">
        <v>19</v>
      </c>
      <c s="761">
        <v>7</v>
      </c>
      <c s="761">
        <v>3</v>
      </c>
      <c s="761">
        <v>6</v>
      </c>
      <c s="761">
        <v>34</v>
      </c>
      <c s="761">
        <v>8</v>
      </c>
      <c s="761">
        <v>8</v>
      </c>
      <c s="761">
        <v>10</v>
      </c>
    </row>
  </sheetData>
  <sheetProtection formatColumns="0" formatRows="0" insertRows="0" deleteColumns="0" deleteRows="0" sort="0" autoFilter="0"/>
  <mergeCells count="39">
    <mergeCell ref="F5:K5"/>
    <mergeCell ref="N11:N12"/>
    <mergeCell ref="O11:O12"/>
    <mergeCell ref="P11:P12"/>
    <mergeCell ref="Y11:Y12"/>
    <mergeCell ref="N9:P9"/>
    <mergeCell ref="M9:M10"/>
    <mergeCell ref="F9:F10"/>
    <mergeCell ref="G9:G10"/>
    <mergeCell ref="I9:I10"/>
    <mergeCell ref="K9:K10"/>
    <mergeCell ref="L9:L10"/>
    <mergeCell ref="F11:F12"/>
    <mergeCell ref="M11:M12"/>
    <mergeCell ref="L11:L12"/>
    <mergeCell ref="J11:J12"/>
    <mergeCell ref="J9:J10"/>
    <mergeCell ref="K11:K12"/>
    <mergeCell ref="Z11:Z12"/>
    <mergeCell ref="Y9:AB9"/>
    <mergeCell ref="AB11:AB12"/>
    <mergeCell ref="Z10:AA10"/>
    <mergeCell ref="AA11:AA12"/>
    <mergeCell ref="F6:K6"/>
    <mergeCell ref="F8:AB8"/>
    <mergeCell ref="U9:X9"/>
    <mergeCell ref="U11:U12"/>
    <mergeCell ref="V11:V12"/>
    <mergeCell ref="W11:W12"/>
    <mergeCell ref="X11:X12"/>
    <mergeCell ref="Q9:T9"/>
    <mergeCell ref="I11:I12"/>
    <mergeCell ref="G11:G12"/>
    <mergeCell ref="T11:T12"/>
    <mergeCell ref="S11:S12"/>
    <mergeCell ref="H9:H10"/>
    <mergeCell ref="H11:H12"/>
    <mergeCell ref="Q11:Q12"/>
    <mergeCell ref="R11:R12"/>
  </mergeCells>
  <pageMargins left="0.7" right="0.7" top="0.75" bottom="0.75" header="0.3" footer="0.3"/>
  <pageSetup orientation="portrait" paperSize="9"/>
</worksheet>
</file>

<file path=xl/worksheets/sheet4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m="http://schemas.microsoft.com/office/excel/2006/main" xmlns:x14ac="http://schemas.microsoft.com/office/spreadsheetml/2009/9/ac" xmlns:xr="http://schemas.microsoft.com/office/spreadsheetml/2014/revision" xmlns:xr2="http://schemas.microsoft.com/office/spreadsheetml/2015/revision2" xmlns:xr3="http://schemas.microsoft.com/office/spreadsheetml/2016/revision3" xr:uid="{9219FA5A-0CCD-41AF-66C2-0E655F3F218B}" mc:Ignorable="x14ac xr xr2 xr3">
  <sheetPr>
    <tabColor theme="9" tint="-0.249980002641678"/>
  </sheetPr>
  <dimension ref="A1:BG20"/>
  <sheetViews>
    <sheetView showGridLines="0" zoomScale="90" zoomScaleNormal="90" workbookViewId="0" topLeftCell="A1">
      <pane xSplit="8" ySplit="12" topLeftCell="I13" activePane="bottomRight" state="frozen"/>
      <selection pane="topLeft" activeCell="A1" sqref="A1"/>
      <selection pane="bottomLeft" activeCell="A13" sqref="A13"/>
      <selection pane="topRight" activeCell="I1" sqref="I1"/>
      <selection pane="bottomRight" activeCell="A1" sqref="A1"/>
    </sheetView>
  </sheetViews>
  <sheetFormatPr defaultColWidth="9.14428571428571" defaultRowHeight="10.5" customHeight="1"/>
  <cols>
    <col min="1" max="3" width="4.14285714285714" style="1169" hidden="1" customWidth="1"/>
    <col min="4" max="4" width="4.14285714285714" style="1369" hidden="1" customWidth="1"/>
    <col min="5" max="5" width="3" style="1638" customWidth="1"/>
    <col min="6" max="6" width="14" style="1638" customWidth="1"/>
    <col min="7" max="7" width="3" style="1638" customWidth="1"/>
    <col min="8" max="8" width="7" style="1638" customWidth="1"/>
    <col min="9" max="10" width="16" style="1638" customWidth="1"/>
    <col min="11" max="11" width="25" style="1638" customWidth="1"/>
    <col min="12" max="12" width="7" style="1638" customWidth="1"/>
    <col min="13" max="13" width="15" style="1638" customWidth="1"/>
    <col min="14" max="14" width="3" style="1638" customWidth="1"/>
    <col min="15" max="15" width="4" style="1638" customWidth="1"/>
    <col min="16" max="16" width="8" style="1638" customWidth="1"/>
    <col min="17" max="17" width="21" style="1638" customWidth="1"/>
    <col min="18" max="18" width="14" style="1638" customWidth="1"/>
    <col min="19" max="20" width="17" style="1638" customWidth="1"/>
    <col min="21" max="21" width="9" style="1638" customWidth="1"/>
    <col min="22" max="22" width="12" style="1638" customWidth="1"/>
    <col min="23" max="23" width="9" style="1638" customWidth="1"/>
    <col min="24" max="24" width="21" style="1638" customWidth="1"/>
    <col min="25" max="25" width="12" style="1638" customWidth="1"/>
    <col min="26" max="26" width="3" style="1638" customWidth="1"/>
    <col min="27" max="27" width="6" style="1638" customWidth="1"/>
    <col min="28" max="28" width="38" style="1638" customWidth="1"/>
    <col min="29" max="29" width="15" style="1638" customWidth="1"/>
    <col min="30" max="30" width="37.5714285714286" style="1638" hidden="1" customWidth="1"/>
    <col min="31" max="31" width="15.7142857142857" style="1638" hidden="1" customWidth="1"/>
    <col min="32" max="34" width="16" style="1638" customWidth="1"/>
    <col min="35" max="37" width="16.7142857142857" style="1638" hidden="1" customWidth="1"/>
    <col min="38" max="58" width="8" style="1638" customWidth="1"/>
    <col min="59" max="59" width="9.14285714285714" style="1638" hidden="1"/>
  </cols>
  <sheetData>
    <row r="1" spans="1:13 30:35 59:59" s="1369" customFormat="1" ht="10.5" customHeight="1" hidden="1">
      <c r="A1" s="898"/>
      <c s="898"/>
      <c s="898"/>
      <c r="E1" s="540"/>
      <c r="H1" s="1163"/>
      <c r="L1" s="1131"/>
      <c s="1131"/>
      <c r="AD1" s="1131"/>
      <c r="AH1" s="1150"/>
      <c s="1143"/>
      <c r="BG1" s="420" t="s">
        <v>14</v>
      </c>
    </row>
    <row r="2" spans="59:59" ht="10.5" customHeight="1" hidden="1">
      <c r="BG2" s="761">
        <v>0</v>
      </c>
    </row>
    <row r="3" spans="1:13 30:35 59:59" s="1635" customFormat="1" ht="10.5" customHeight="1" hidden="1">
      <c r="A3" s="898"/>
      <c s="898"/>
      <c s="898"/>
      <c s="420"/>
      <c s="365"/>
      <c r="H3" s="1159"/>
      <c r="L3" s="1129"/>
      <c s="1129"/>
      <c r="AD3" s="1129"/>
      <c r="AH3" s="1148"/>
      <c s="1141"/>
      <c r="BG3" s="762">
        <v>0</v>
      </c>
    </row>
    <row r="4" spans="59:59" ht="3" customHeight="1">
      <c r="BG4" s="761">
        <v>3</v>
      </c>
    </row>
    <row r="5" spans="6:13 33:34 59:59" ht="27.3" customHeight="1">
      <c r="F5" s="2251" t="str">
        <f>IP_NAME_FORM</f>
        <v>Форма 7. Информация об инвестиционных программах организации водоотведения и отчетах об их исполнении</v>
      </c>
      <c s="2251"/>
      <c s="2251"/>
      <c s="2251"/>
      <c s="2251"/>
      <c s="2251"/>
      <c s="1138"/>
      <c s="1138"/>
      <c r="AG5" s="909"/>
      <c s="1151"/>
      <c r="BG5" s="761">
        <v>26</v>
      </c>
    </row>
    <row r="6" spans="6:13 59:59" ht="10.5" customHeight="1">
      <c r="F6" s="2179" t="str">
        <f>IF(org=0,"Не определено",org)</f>
        <v>ГУП КК "Кубаньводкомплекс"</v>
      </c>
      <c s="2179"/>
      <c s="2179"/>
      <c s="2179"/>
      <c s="2179"/>
      <c s="2179"/>
      <c s="1139"/>
      <c s="1139"/>
      <c r="BG6" s="761">
        <v>10</v>
      </c>
    </row>
    <row r="7" spans="5:59" ht="11.55" customHeight="1">
      <c r="E7" s="911"/>
      <c s="922"/>
      <c s="922"/>
      <c s="1187"/>
      <c s="922"/>
      <c s="922"/>
      <c s="924"/>
      <c s="1136"/>
      <c s="1136"/>
      <c s="922"/>
      <c s="922"/>
      <c s="922"/>
      <c s="924"/>
      <c s="922"/>
      <c s="922"/>
      <c s="922"/>
      <c s="922"/>
      <c s="922"/>
      <c s="922"/>
      <c s="922"/>
      <c s="922"/>
      <c s="922"/>
      <c s="922"/>
      <c s="922"/>
      <c s="923"/>
      <c s="1135"/>
      <c s="923"/>
      <c s="922"/>
      <c s="922"/>
      <c s="1153"/>
      <c s="1146"/>
      <c s="922"/>
      <c s="922"/>
      <c s="913"/>
      <c s="913"/>
      <c s="913"/>
      <c s="910"/>
      <c s="910"/>
      <c s="910"/>
      <c s="910"/>
      <c s="910"/>
      <c s="910"/>
      <c s="910"/>
      <c s="910"/>
      <c s="910"/>
      <c s="910"/>
      <c s="910"/>
      <c s="910"/>
      <c s="910"/>
      <c s="910"/>
      <c s="910"/>
      <c s="910"/>
      <c s="910"/>
      <c s="910"/>
      <c s="761">
        <v>11</v>
      </c>
    </row>
    <row r="8" spans="5:59" ht="10.5" customHeight="1">
      <c r="E8" s="911"/>
      <c s="2418" t="s">
        <v>300</v>
      </c>
      <c s="2419"/>
      <c s="2419"/>
      <c s="2419"/>
      <c s="2419"/>
      <c s="2419"/>
      <c s="2419"/>
      <c s="2419"/>
      <c s="2419"/>
      <c s="2419"/>
      <c s="2419"/>
      <c s="2419"/>
      <c s="2419"/>
      <c s="2419"/>
      <c s="2419"/>
      <c s="2419"/>
      <c s="2419"/>
      <c s="2419"/>
      <c s="2419"/>
      <c s="2419"/>
      <c s="2419"/>
      <c s="2419"/>
      <c s="2419"/>
      <c s="2419"/>
      <c s="2419"/>
      <c s="2419"/>
      <c s="2419"/>
      <c s="2419"/>
      <c s="2419"/>
      <c s="2419"/>
      <c s="2419"/>
      <c s="2420"/>
      <c s="912"/>
      <c s="910"/>
      <c s="910"/>
      <c s="910"/>
      <c s="910"/>
      <c s="910"/>
      <c s="910"/>
      <c s="910"/>
      <c s="910"/>
      <c s="910"/>
      <c s="910"/>
      <c s="910"/>
      <c s="910"/>
      <c s="910"/>
      <c s="910"/>
      <c s="910"/>
      <c s="910"/>
      <c s="910"/>
      <c s="910"/>
      <c s="910"/>
      <c s="910"/>
      <c s="761">
        <v>10</v>
      </c>
    </row>
    <row r="9" spans="1:59" ht="24" customHeight="1">
      <c r="A9" s="908"/>
      <c s="908"/>
      <c s="908"/>
      <c r="E9" s="911"/>
      <c s="2411" t="s">
        <v>986</v>
      </c>
      <c s="2412" t="s">
        <v>987</v>
      </c>
      <c s="2413"/>
      <c s="2130" t="s">
        <v>988</v>
      </c>
      <c s="2130"/>
      <c s="2130" t="s">
        <v>989</v>
      </c>
      <c s="2130"/>
      <c s="2130"/>
      <c s="2130"/>
      <c s="2130"/>
      <c s="2130"/>
      <c s="2130"/>
      <c s="2130"/>
      <c s="2130"/>
      <c s="2130"/>
      <c s="2130"/>
      <c s="2130"/>
      <c s="2130"/>
      <c s="2130"/>
      <c s="2130"/>
      <c s="2195" t="s">
        <v>990</v>
      </c>
      <c s="2196"/>
      <c s="2130" t="s">
        <v>991</v>
      </c>
      <c s="2130"/>
      <c s="2130"/>
      <c s="2130"/>
      <c s="2178" t="s">
        <v>992</v>
      </c>
      <c s="2130" t="s">
        <v>993</v>
      </c>
      <c s="2130"/>
      <c s="2178" t="s">
        <v>994</v>
      </c>
      <c s="2130" t="s">
        <v>995</v>
      </c>
      <c s="2130"/>
      <c s="1145"/>
      <c s="910"/>
      <c s="910"/>
      <c s="910"/>
      <c s="910"/>
      <c s="910"/>
      <c s="910"/>
      <c s="910"/>
      <c s="910"/>
      <c s="910"/>
      <c s="910"/>
      <c s="910"/>
      <c s="910"/>
      <c s="910"/>
      <c s="910"/>
      <c s="910"/>
      <c s="910"/>
      <c s="910"/>
      <c s="910"/>
      <c s="910"/>
      <c s="910"/>
      <c s="761">
        <v>23</v>
      </c>
    </row>
    <row r="10" spans="1:59" ht="25.2" customHeight="1">
      <c r="A10" s="908"/>
      <c s="908"/>
      <c s="908"/>
      <c r="E10" s="915"/>
      <c s="2411"/>
      <c s="2414"/>
      <c s="2415"/>
      <c s="2130"/>
      <c s="2130"/>
      <c s="2130" t="s">
        <v>996</v>
      </c>
      <c s="2104" t="s">
        <v>997</v>
      </c>
      <c s="2106"/>
      <c s="2130" t="s">
        <v>998</v>
      </c>
      <c s="2130"/>
      <c s="2130"/>
      <c s="2130"/>
      <c s="2130"/>
      <c s="2130"/>
      <c s="2130"/>
      <c s="2130"/>
      <c s="2130"/>
      <c s="2130"/>
      <c s="2130"/>
      <c s="2130"/>
      <c s="2197"/>
      <c s="2198"/>
      <c s="2130"/>
      <c s="2130"/>
      <c s="2130"/>
      <c s="2130"/>
      <c s="2202"/>
      <c s="2130"/>
      <c s="2130"/>
      <c s="2202"/>
      <c s="2130"/>
      <c s="2130"/>
      <c s="1145"/>
      <c s="916"/>
      <c s="916"/>
      <c s="916"/>
      <c s="916"/>
      <c s="916"/>
      <c s="916"/>
      <c s="916"/>
      <c s="916"/>
      <c s="916"/>
      <c s="916"/>
      <c s="916"/>
      <c s="916"/>
      <c s="916"/>
      <c s="916"/>
      <c s="916"/>
      <c s="916"/>
      <c s="916"/>
      <c s="916"/>
      <c s="916"/>
      <c s="916"/>
      <c s="761">
        <v>24</v>
      </c>
    </row>
    <row r="11" spans="1:59" s="1638" customFormat="1" ht="25.2" customHeight="1">
      <c r="A11" s="1132"/>
      <c s="1132"/>
      <c s="1132"/>
      <c s="1131"/>
      <c s="1133"/>
      <c s="2411"/>
      <c s="2414"/>
      <c s="2415"/>
      <c s="2130"/>
      <c s="2130"/>
      <c s="2130"/>
      <c s="2178" t="s">
        <v>999</v>
      </c>
      <c s="2178" t="s">
        <v>1000</v>
      </c>
      <c s="2130" t="s">
        <v>1001</v>
      </c>
      <c s="2130"/>
      <c s="2421" t="s">
        <v>982</v>
      </c>
      <c s="2421" t="s">
        <v>1002</v>
      </c>
      <c s="2421" t="s">
        <v>1003</v>
      </c>
      <c s="2421" t="s">
        <v>1004</v>
      </c>
      <c s="2421"/>
      <c s="2421"/>
      <c s="2421"/>
      <c s="2421"/>
      <c s="2421"/>
      <c s="2421"/>
      <c s="2197"/>
      <c s="2198"/>
      <c s="2130" t="s">
        <v>1005</v>
      </c>
      <c s="2130"/>
      <c s="2104" t="s">
        <v>1006</v>
      </c>
      <c s="2106"/>
      <c s="2202"/>
      <c s="2130"/>
      <c s="2130"/>
      <c s="2202"/>
      <c s="2130"/>
      <c s="2130"/>
      <c s="1145"/>
      <c s="1130"/>
      <c s="1130"/>
      <c s="1130"/>
      <c s="1130"/>
      <c s="1130"/>
      <c s="1130"/>
      <c s="1130"/>
      <c s="1130"/>
      <c s="1130"/>
      <c s="1130"/>
      <c s="1130"/>
      <c s="1130"/>
      <c s="1130"/>
      <c s="1130"/>
      <c s="1130"/>
      <c s="1130"/>
      <c s="1130"/>
      <c s="1130"/>
      <c s="1130"/>
      <c s="1130"/>
      <c s="1128">
        <v>24</v>
      </c>
    </row>
    <row r="12" spans="1:59" ht="35.7" customHeight="1">
      <c r="A12" s="908"/>
      <c s="908"/>
      <c s="908"/>
      <c r="E12" s="911"/>
      <c s="2411"/>
      <c s="2416"/>
      <c s="2417"/>
      <c s="1156" t="s">
        <v>88</v>
      </c>
      <c s="1156" t="s">
        <v>1007</v>
      </c>
      <c s="2130"/>
      <c s="2235"/>
      <c s="2235"/>
      <c s="2130"/>
      <c s="2130"/>
      <c s="2421"/>
      <c s="2421"/>
      <c s="2421"/>
      <c s="1137" t="s">
        <v>85</v>
      </c>
      <c s="1137" t="s">
        <v>86</v>
      </c>
      <c s="1137" t="s">
        <v>84</v>
      </c>
      <c s="1137" t="s">
        <v>1008</v>
      </c>
      <c s="1137" t="s">
        <v>84</v>
      </c>
      <c s="1137" t="s">
        <v>1009</v>
      </c>
      <c s="1137" t="s">
        <v>1010</v>
      </c>
      <c s="2203"/>
      <c s="2204"/>
      <c s="1144" t="s">
        <v>1011</v>
      </c>
      <c s="1144" t="s">
        <v>1012</v>
      </c>
      <c s="1144" t="s">
        <v>1011</v>
      </c>
      <c s="1144" t="s">
        <v>1012</v>
      </c>
      <c s="2235"/>
      <c s="1157" t="s">
        <v>1013</v>
      </c>
      <c s="1157" t="s">
        <v>1014</v>
      </c>
      <c s="2235"/>
      <c s="1157" t="s">
        <v>1013</v>
      </c>
      <c s="1157" t="s">
        <v>1014</v>
      </c>
      <c s="1145"/>
      <c s="910"/>
      <c s="910"/>
      <c s="910"/>
      <c s="910"/>
      <c s="910"/>
      <c s="910"/>
      <c s="910"/>
      <c s="910"/>
      <c s="910"/>
      <c s="910"/>
      <c s="910"/>
      <c s="910"/>
      <c s="910"/>
      <c s="910"/>
      <c s="910"/>
      <c s="910"/>
      <c s="910"/>
      <c s="910"/>
      <c s="910"/>
      <c s="910"/>
      <c s="761">
        <v>34</v>
      </c>
    </row>
    <row r="13" spans="5:59" ht="1.05" customHeight="1">
      <c r="E13" s="911"/>
      <c s="1127">
        <v>0</v>
      </c>
      <c s="1127"/>
      <c s="1127"/>
      <c s="1127"/>
      <c s="1127"/>
      <c s="1134"/>
      <c s="1134"/>
      <c s="1134"/>
      <c s="1134"/>
      <c s="1134"/>
      <c s="1134"/>
      <c s="1134"/>
      <c s="1134"/>
      <c s="1134"/>
      <c s="1134"/>
      <c s="1134"/>
      <c s="1134"/>
      <c s="1134"/>
      <c s="1134"/>
      <c s="1134"/>
      <c s="1134"/>
      <c s="1134"/>
      <c s="1134"/>
      <c s="1134"/>
      <c s="1134"/>
      <c s="1134"/>
      <c s="1134"/>
      <c s="1134"/>
      <c s="1152"/>
      <c s="1145"/>
      <c s="1134"/>
      <c s="1134"/>
      <c s="912"/>
      <c s="910"/>
      <c s="910"/>
      <c s="910"/>
      <c s="910"/>
      <c s="910"/>
      <c s="910"/>
      <c s="910"/>
      <c s="910"/>
      <c s="910"/>
      <c s="910"/>
      <c s="910"/>
      <c s="910"/>
      <c s="910"/>
      <c s="910"/>
      <c s="910"/>
      <c s="910"/>
      <c s="910"/>
      <c s="910"/>
      <c s="910"/>
      <c s="910"/>
      <c s="761">
        <v>1</v>
      </c>
    </row>
    <row r="14" spans="5:59" ht="10.5" customHeight="1">
      <c r="E14" s="910"/>
      <c s="921"/>
      <c s="921"/>
      <c s="1175"/>
      <c s="921"/>
      <c s="921"/>
      <c s="921"/>
      <c s="1134"/>
      <c s="1134"/>
      <c s="921"/>
      <c s="921"/>
      <c s="921"/>
      <c s="921"/>
      <c s="921"/>
      <c s="921"/>
      <c s="921"/>
      <c s="921"/>
      <c s="921"/>
      <c s="921"/>
      <c s="921"/>
      <c s="921"/>
      <c s="921"/>
      <c s="921"/>
      <c s="921"/>
      <c s="921"/>
      <c s="1134"/>
      <c s="921"/>
      <c s="921"/>
      <c s="921"/>
      <c s="1152"/>
      <c s="1145"/>
      <c s="921"/>
      <c s="921"/>
      <c s="910"/>
      <c s="910"/>
      <c s="910"/>
      <c s="910"/>
      <c s="910"/>
      <c s="910"/>
      <c s="910"/>
      <c s="910"/>
      <c s="910"/>
      <c s="910"/>
      <c s="910"/>
      <c s="910"/>
      <c s="910"/>
      <c s="910"/>
      <c s="910"/>
      <c s="910"/>
      <c s="910"/>
      <c s="910"/>
      <c s="910"/>
      <c s="910"/>
      <c s="910"/>
      <c s="761">
        <v>10</v>
      </c>
    </row>
    <row r="15" spans="5:59" ht="13.5" customHeight="1">
      <c r="E15" s="910"/>
      <c s="917" t="s">
        <v>1015</v>
      </c>
      <c s="917"/>
      <c s="1174"/>
      <c s="917"/>
      <c s="917"/>
      <c s="914"/>
      <c s="1130"/>
      <c s="1130"/>
      <c s="916"/>
      <c s="916"/>
      <c s="916"/>
      <c s="916"/>
      <c s="916"/>
      <c s="916"/>
      <c s="916"/>
      <c s="916"/>
      <c s="916"/>
      <c s="916"/>
      <c s="916"/>
      <c s="916"/>
      <c s="914"/>
      <c s="914"/>
      <c s="914"/>
      <c s="914"/>
      <c s="1130"/>
      <c s="914"/>
      <c s="914"/>
      <c s="914"/>
      <c s="1149"/>
      <c s="1142"/>
      <c s="914"/>
      <c s="914"/>
      <c s="910"/>
      <c s="910"/>
      <c s="910"/>
      <c s="910"/>
      <c s="910"/>
      <c s="910"/>
      <c s="910"/>
      <c s="910"/>
      <c s="910"/>
      <c s="910"/>
      <c s="910"/>
      <c s="910"/>
      <c s="910"/>
      <c s="910"/>
      <c s="910"/>
      <c s="910"/>
      <c s="910"/>
      <c s="910"/>
      <c s="910"/>
      <c s="910"/>
      <c s="910"/>
      <c s="761">
        <v>13</v>
      </c>
    </row>
    <row r="16" spans="59:59" ht="10.5" customHeight="1">
      <c r="BG16" s="761">
        <v>10</v>
      </c>
    </row>
    <row r="17" spans="5:59" ht="10.5" customHeight="1">
      <c r="E17" s="910"/>
      <c s="2410"/>
      <c s="2410"/>
      <c s="2410"/>
      <c s="2410"/>
      <c s="2410"/>
      <c s="914"/>
      <c s="1130"/>
      <c s="1130"/>
      <c s="916"/>
      <c s="916"/>
      <c s="916"/>
      <c s="916"/>
      <c s="916"/>
      <c s="916"/>
      <c s="916"/>
      <c s="916"/>
      <c s="916"/>
      <c s="916"/>
      <c s="916"/>
      <c s="916"/>
      <c s="914"/>
      <c s="914"/>
      <c s="914"/>
      <c s="914"/>
      <c s="1130"/>
      <c s="914"/>
      <c s="914"/>
      <c s="914"/>
      <c s="1149"/>
      <c s="1142"/>
      <c s="914"/>
      <c s="914"/>
      <c s="910"/>
      <c s="910"/>
      <c s="910"/>
      <c s="910"/>
      <c s="910"/>
      <c s="910"/>
      <c s="910"/>
      <c s="910"/>
      <c s="910"/>
      <c s="910"/>
      <c s="910"/>
      <c s="910"/>
      <c s="910"/>
      <c s="910"/>
      <c s="910"/>
      <c s="910"/>
      <c s="910"/>
      <c s="910"/>
      <c s="910"/>
      <c s="910"/>
      <c s="910"/>
      <c s="761">
        <v>10</v>
      </c>
    </row>
    <row r="18" spans="5:59" ht="10.5" customHeight="1">
      <c r="E18" s="910"/>
      <c s="2410"/>
      <c s="2410"/>
      <c s="2410"/>
      <c s="2410"/>
      <c s="2410"/>
      <c s="914"/>
      <c s="1130"/>
      <c s="1130"/>
      <c s="916"/>
      <c s="916"/>
      <c s="916"/>
      <c s="916"/>
      <c s="916"/>
      <c s="916"/>
      <c s="916"/>
      <c s="916"/>
      <c s="916"/>
      <c s="916"/>
      <c s="916"/>
      <c s="916"/>
      <c s="914"/>
      <c s="914"/>
      <c s="914"/>
      <c s="914"/>
      <c s="1130"/>
      <c s="914"/>
      <c s="914"/>
      <c s="914"/>
      <c s="1149"/>
      <c s="1142"/>
      <c s="914"/>
      <c s="914"/>
      <c s="910"/>
      <c s="910"/>
      <c s="910"/>
      <c s="910"/>
      <c s="910"/>
      <c s="910"/>
      <c s="910"/>
      <c s="910"/>
      <c s="910"/>
      <c s="910"/>
      <c s="910"/>
      <c s="910"/>
      <c s="910"/>
      <c s="910"/>
      <c s="910"/>
      <c s="910"/>
      <c s="910"/>
      <c s="910"/>
      <c s="910"/>
      <c s="910"/>
      <c s="910"/>
      <c s="761">
        <v>10</v>
      </c>
    </row>
    <row r="19" spans="5:59" ht="10.5" customHeight="1">
      <c r="E19" s="910"/>
      <c s="2410"/>
      <c s="2410"/>
      <c s="2410"/>
      <c s="2410"/>
      <c s="2410"/>
      <c s="914"/>
      <c s="1130"/>
      <c s="1130"/>
      <c s="916"/>
      <c s="916"/>
      <c s="916"/>
      <c s="916"/>
      <c s="916"/>
      <c s="916"/>
      <c s="916"/>
      <c s="916"/>
      <c s="916"/>
      <c s="916"/>
      <c s="916"/>
      <c s="916"/>
      <c s="914"/>
      <c s="914"/>
      <c s="914"/>
      <c s="914"/>
      <c s="1130"/>
      <c s="914"/>
      <c s="914"/>
      <c s="914"/>
      <c s="1149"/>
      <c s="1142"/>
      <c s="914"/>
      <c s="914"/>
      <c s="910"/>
      <c s="910"/>
      <c s="910"/>
      <c s="910"/>
      <c s="910"/>
      <c s="910"/>
      <c s="910"/>
      <c s="910"/>
      <c s="910"/>
      <c s="910"/>
      <c s="910"/>
      <c s="910"/>
      <c s="910"/>
      <c s="910"/>
      <c s="910"/>
      <c s="910"/>
      <c s="910"/>
      <c s="910"/>
      <c s="910"/>
      <c s="910"/>
      <c s="910"/>
      <c s="761">
        <v>10</v>
      </c>
    </row>
    <row r="20" spans="1:59" ht="10.5" customHeight="1" hidden="1">
      <c r="A20" s="898" t="s">
        <v>81</v>
      </c>
      <c s="898">
        <v>0</v>
      </c>
      <c s="898">
        <v>0</v>
      </c>
      <c s="420">
        <v>0</v>
      </c>
      <c s="512">
        <v>3</v>
      </c>
      <c s="761">
        <v>14</v>
      </c>
      <c s="761">
        <v>3</v>
      </c>
      <c s="1158">
        <v>7</v>
      </c>
      <c s="761">
        <v>16</v>
      </c>
      <c s="761">
        <v>16</v>
      </c>
      <c s="761">
        <v>25</v>
      </c>
      <c s="1128">
        <v>7</v>
      </c>
      <c s="1128">
        <v>15</v>
      </c>
      <c s="761">
        <v>3</v>
      </c>
      <c s="761">
        <v>4</v>
      </c>
      <c s="761">
        <v>8</v>
      </c>
      <c s="761">
        <v>21</v>
      </c>
      <c s="761">
        <v>14</v>
      </c>
      <c s="761">
        <v>17</v>
      </c>
      <c s="761">
        <v>17</v>
      </c>
      <c s="761">
        <v>9</v>
      </c>
      <c s="761">
        <v>12</v>
      </c>
      <c s="761">
        <v>9</v>
      </c>
      <c s="761">
        <v>21</v>
      </c>
      <c s="761">
        <v>12</v>
      </c>
      <c s="761">
        <v>3</v>
      </c>
      <c s="761">
        <v>6</v>
      </c>
      <c s="761">
        <v>38</v>
      </c>
      <c s="761">
        <v>15</v>
      </c>
      <c s="1128">
        <v>0</v>
      </c>
      <c s="761">
        <v>0</v>
      </c>
      <c s="761">
        <v>16</v>
      </c>
      <c s="761">
        <v>16</v>
      </c>
      <c s="1147">
        <v>16</v>
      </c>
      <c s="1140">
        <v>0</v>
      </c>
      <c s="761">
        <v>0</v>
      </c>
      <c s="761">
        <v>0</v>
      </c>
      <c s="761">
        <v>8</v>
      </c>
      <c s="761">
        <v>8</v>
      </c>
      <c s="761">
        <v>8</v>
      </c>
      <c s="761">
        <v>8</v>
      </c>
      <c s="761">
        <v>8</v>
      </c>
      <c s="761">
        <v>8</v>
      </c>
      <c s="761">
        <v>8</v>
      </c>
      <c s="761">
        <v>8</v>
      </c>
      <c s="761">
        <v>8</v>
      </c>
      <c s="761">
        <v>8</v>
      </c>
      <c s="761">
        <v>8</v>
      </c>
      <c s="761">
        <v>8</v>
      </c>
      <c s="761">
        <v>8</v>
      </c>
      <c s="761">
        <v>8</v>
      </c>
      <c s="761">
        <v>8</v>
      </c>
      <c s="761">
        <v>8</v>
      </c>
      <c s="761">
        <v>8</v>
      </c>
      <c s="761">
        <v>8</v>
      </c>
      <c s="761">
        <v>8</v>
      </c>
      <c s="761">
        <v>8</v>
      </c>
      <c s="761">
        <v>8</v>
      </c>
      <c s="761">
        <v>10</v>
      </c>
    </row>
  </sheetData>
  <sheetProtection formatColumns="0" formatRows="0" insertRows="0" deleteColumns="0" deleteRows="0" sort="0" autoFilter="0"/>
  <mergeCells count="28">
    <mergeCell ref="AB9:AE10"/>
    <mergeCell ref="S11:Y11"/>
    <mergeCell ref="N10:Y10"/>
    <mergeCell ref="K9:Y9"/>
    <mergeCell ref="N11:O12"/>
    <mergeCell ref="P11:P12"/>
    <mergeCell ref="Q11:Q12"/>
    <mergeCell ref="F19:J19"/>
    <mergeCell ref="F9:F12"/>
    <mergeCell ref="G9:H12"/>
    <mergeCell ref="F6:K6"/>
    <mergeCell ref="F8:AK8"/>
    <mergeCell ref="R11:R12"/>
    <mergeCell ref="L10:M10"/>
    <mergeCell ref="Z9:AA12"/>
    <mergeCell ref="M11:M12"/>
    <mergeCell ref="L11:L12"/>
    <mergeCell ref="AB11:AC11"/>
    <mergeCell ref="AD11:AE11"/>
    <mergeCell ref="AI9:AI12"/>
    <mergeCell ref="AG9:AH11"/>
    <mergeCell ref="AJ9:AK11"/>
    <mergeCell ref="AF9:AF12"/>
    <mergeCell ref="I9:J11"/>
    <mergeCell ref="K10:K12"/>
    <mergeCell ref="F18:J18"/>
    <mergeCell ref="F17:J17"/>
    <mergeCell ref="F5:K5"/>
  </mergeCells>
  <pageMargins left="0.7" right="0.7" top="0.75" bottom="0.75" header="0.3" footer="0.3"/>
  <pageSetup orientation="portrait" paperSize="9"/>
</worksheet>
</file>

<file path=xl/worksheets/sheet4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m="http://schemas.microsoft.com/office/excel/2006/main" xmlns:x14ac="http://schemas.microsoft.com/office/spreadsheetml/2009/9/ac" xmlns:xr="http://schemas.microsoft.com/office/spreadsheetml/2014/revision" xmlns:xr2="http://schemas.microsoft.com/office/spreadsheetml/2015/revision2" xmlns:xr3="http://schemas.microsoft.com/office/spreadsheetml/2016/revision3" xr:uid="{63F3A2E6-A393-9261-9474-A5125642FEBB}" mc:Ignorable="x14ac xr xr2 xr3">
  <sheetPr>
    <tabColor theme="9" tint="-0.249980002641678"/>
  </sheetPr>
  <dimension ref="A1:W59"/>
  <sheetViews>
    <sheetView showGridLines="0" zoomScale="85" zoomScaleNormal="85" workbookViewId="0" topLeftCell="A1">
      <pane xSplit="9" ySplit="13" topLeftCell="J14" activePane="bottomRight" state="frozen"/>
      <selection pane="topLeft" activeCell="A1" sqref="A1"/>
      <selection pane="bottomLeft" activeCell="A14" sqref="A14"/>
      <selection pane="topRight" activeCell="J1" sqref="J1"/>
      <selection pane="bottomRight" activeCell="A1" sqref="A1"/>
    </sheetView>
  </sheetViews>
  <sheetFormatPr defaultColWidth="9.14428571428571" defaultRowHeight="10.5" customHeight="1"/>
  <cols>
    <col min="1" max="3" width="4.14285714285714" style="1169" hidden="1" customWidth="1"/>
    <col min="4" max="4" width="4.14285714285714" style="1369" hidden="1" customWidth="1"/>
    <col min="5" max="5" width="3" style="1638" customWidth="1"/>
    <col min="6" max="6" width="6" style="1638" customWidth="1"/>
    <col min="7" max="7" width="60" style="1638" customWidth="1"/>
    <col min="8" max="9" width="21.7142857142857" style="1638" hidden="1" customWidth="1"/>
    <col min="10" max="10" width="0.142857142857143" style="1638" customWidth="1"/>
    <col min="11" max="11" width="1" style="1638" customWidth="1"/>
    <col min="12" max="22" width="8" style="1638" customWidth="1"/>
    <col min="23" max="23" width="9.14285714285714" style="1638" hidden="1"/>
  </cols>
  <sheetData>
    <row r="1" spans="1:23" s="1369" customFormat="1" ht="10.5" customHeight="1" hidden="1">
      <c r="A1" s="1169"/>
      <c s="1169"/>
      <c s="1169"/>
      <c r="E1" s="540"/>
      <c r="W1" s="1163" t="s">
        <v>14</v>
      </c>
    </row>
    <row r="2" spans="23:23" ht="10.5" customHeight="1" hidden="1">
      <c r="W2" s="1158">
        <v>0</v>
      </c>
    </row>
    <row r="3" spans="1:23" s="1635" customFormat="1" ht="10.5" customHeight="1" hidden="1">
      <c r="A3" s="1169"/>
      <c s="1169"/>
      <c s="1169"/>
      <c s="1163"/>
      <c s="365"/>
      <c r="W3" s="1159">
        <v>0</v>
      </c>
    </row>
    <row r="4" spans="23:23" ht="3" customHeight="1">
      <c r="W4" s="1158">
        <v>3</v>
      </c>
    </row>
    <row r="5" spans="6:23" ht="27.3" customHeight="1">
      <c r="F5" s="2251" t="str">
        <f>IP_NAME_FORM&amp;"
Финансовый план"</f>
        <v>Форма 7. Информация об инвестиционных программах организации водоотведения и отчетах об их исполнении
Финансовый план</v>
      </c>
      <c s="2251"/>
      <c s="2251"/>
      <c s="2251"/>
      <c s="2251"/>
      <c r="W5" s="1158">
        <v>26</v>
      </c>
    </row>
    <row r="6" spans="6:23" ht="10.5" customHeight="1">
      <c r="F6" s="2179" t="str">
        <f>IF(org=0,"Не определено",org)</f>
        <v>ГУП КК "Кубаньводкомплекс"</v>
      </c>
      <c s="2179"/>
      <c s="2179"/>
      <c s="2179"/>
      <c s="2179"/>
      <c r="W6" s="1158">
        <v>10</v>
      </c>
    </row>
    <row r="7" spans="5:23" ht="11.55" customHeight="1">
      <c r="E7" s="1173"/>
      <c s="1230"/>
      <c s="1230"/>
      <c s="1230"/>
      <c s="1230"/>
      <c s="1230"/>
      <c s="1160"/>
      <c s="1160"/>
      <c s="1160"/>
      <c s="1160"/>
      <c s="1160"/>
      <c s="1160"/>
      <c s="1160"/>
      <c s="1160"/>
      <c s="1160"/>
      <c s="1160"/>
      <c s="1160"/>
      <c s="1160"/>
      <c s="1158">
        <v>11</v>
      </c>
    </row>
    <row r="8" spans="1:23" s="1645" customFormat="1" ht="4.2" customHeight="1">
      <c r="A8" s="1170"/>
      <c s="1170"/>
      <c s="1170"/>
      <c r="E8" s="1231"/>
      <c s="1232"/>
      <c s="1232"/>
      <c s="1232"/>
      <c s="1232"/>
      <c s="1232"/>
      <c s="1231"/>
      <c s="1231"/>
      <c s="1231"/>
      <c s="1231"/>
      <c s="1231"/>
      <c s="1231"/>
      <c s="1231"/>
      <c s="1231"/>
      <c s="1231"/>
      <c s="1231"/>
      <c s="1231"/>
      <c s="1231"/>
      <c s="514">
        <v>4</v>
      </c>
    </row>
    <row r="9" spans="5:23" ht="10.5" customHeight="1">
      <c r="E9" s="1173"/>
      <c s="2422" t="s">
        <v>300</v>
      </c>
      <c s="2423"/>
      <c s="2423"/>
      <c s="2423"/>
      <c s="2423"/>
      <c s="1243"/>
      <c s="1160"/>
      <c s="1160"/>
      <c s="1160"/>
      <c s="1160"/>
      <c s="1160"/>
      <c s="1160"/>
      <c s="1160"/>
      <c s="1160"/>
      <c s="1160"/>
      <c s="1160"/>
      <c s="1160"/>
      <c s="1158">
        <v>10</v>
      </c>
    </row>
    <row r="10" spans="5:23" ht="25.2" customHeight="1">
      <c r="E10" s="1160"/>
      <c s="2426" t="s">
        <v>87</v>
      </c>
      <c s="2431" t="s">
        <v>1016</v>
      </c>
      <c s="2429" t="s">
        <v>1017</v>
      </c>
      <c s="2429"/>
      <c s="2429"/>
      <c s="1236"/>
      <c s="1160"/>
      <c s="1160"/>
      <c s="1160"/>
      <c s="1160"/>
      <c s="1160"/>
      <c s="1160"/>
      <c s="1160"/>
      <c s="1160"/>
      <c s="1160"/>
      <c s="1160"/>
      <c s="1160"/>
      <c s="1158">
        <v>24</v>
      </c>
    </row>
    <row r="11" spans="5:23" ht="25.5" customHeight="1">
      <c r="E11" s="1160"/>
      <c s="2427"/>
      <c s="2431"/>
      <c s="2430">
        <f>INDEX(IP_MAIN_LIST_NAME_IP,MATCH(H8,IP_MAIN_LIST_IP_ID,0))&amp;" ("&amp;INDEX(IP_MAIN_START_DATE,MATCH(H8,IP_MAIN_LIST_IP_ID,0))&amp;"-"&amp;INDEX(IP_MAIN_END_DATE,MATCH(H8,IP_MAIN_LIST_IP_ID,0))&amp;")"</f>
      </c>
      <c s="2430"/>
      <c s="2430"/>
      <c s="1236"/>
      <c s="1160"/>
      <c s="1160"/>
      <c s="1160"/>
      <c s="1160"/>
      <c s="1160"/>
      <c s="1160"/>
      <c s="1160"/>
      <c s="1160"/>
      <c s="1160"/>
      <c s="1160"/>
      <c s="1160"/>
      <c s="1158">
        <v>24</v>
      </c>
    </row>
    <row r="12" spans="6:23" ht="10.5" customHeight="1">
      <c r="F12" s="2428"/>
      <c s="2431"/>
      <c s="1229" t="s">
        <v>1018</v>
      </c>
      <c s="1235"/>
      <c s="1229"/>
      <c s="1237"/>
      <c r="W12" s="1158">
        <v>10</v>
      </c>
    </row>
    <row r="13" spans="6:23" ht="10.5" customHeight="1" hidden="1">
      <c r="F13" s="1229">
        <v>1</v>
      </c>
      <c s="1229">
        <v>2</v>
      </c>
      <c s="1229">
        <v>3</v>
      </c>
      <c s="1229">
        <v>4</v>
      </c>
      <c s="1229">
        <v>5</v>
      </c>
      <c s="1237"/>
      <c r="W13" s="1158">
        <v>0</v>
      </c>
    </row>
    <row r="14" spans="6:23" ht="11.55" customHeight="1">
      <c r="F14" s="1228" t="s">
        <v>1019</v>
      </c>
      <c s="2424" t="s">
        <v>1020</v>
      </c>
      <c s="2424"/>
      <c s="2424"/>
      <c s="2424"/>
      <c s="1237"/>
      <c r="W14" s="1158">
        <v>11</v>
      </c>
    </row>
    <row r="15" spans="6:23" ht="11.55" customHeight="1">
      <c r="F15" s="1233">
        <v>1</v>
      </c>
      <c s="693" t="s">
        <v>1021</v>
      </c>
      <c s="1239">
        <f>SUM(I15:J15)</f>
        <v>0</v>
      </c>
      <c s="1239">
        <f>SUM(I16:I27)</f>
        <v>0</v>
      </c>
      <c s="1228"/>
      <c s="1237"/>
      <c r="W15" s="1158">
        <v>11</v>
      </c>
    </row>
    <row r="16" spans="6:23" ht="24" customHeight="1">
      <c r="F16" s="1233" t="s">
        <v>1022</v>
      </c>
      <c s="1240" t="s">
        <v>1023</v>
      </c>
      <c s="1239">
        <f>SUM(I16:J16)</f>
        <v>0</v>
      </c>
      <c s="1238"/>
      <c s="1228"/>
      <c s="1237"/>
      <c r="W16" s="1158">
        <v>23</v>
      </c>
    </row>
    <row r="17" spans="6:23" ht="24" customHeight="1">
      <c r="F17" s="1233" t="s">
        <v>1024</v>
      </c>
      <c s="1240" t="s">
        <v>1025</v>
      </c>
      <c s="1239">
        <f>SUM(I17:J17)</f>
        <v>0</v>
      </c>
      <c s="1238"/>
      <c s="1228"/>
      <c s="1237"/>
      <c r="W17" s="1158">
        <v>23</v>
      </c>
    </row>
    <row r="18" spans="6:23" ht="35.7" customHeight="1">
      <c r="F18" s="1233" t="s">
        <v>1026</v>
      </c>
      <c s="1240" t="s">
        <v>1027</v>
      </c>
      <c s="1239">
        <f>SUM(I18:J18)</f>
        <v>0</v>
      </c>
      <c s="1238"/>
      <c s="1228"/>
      <c s="1237"/>
      <c r="W18" s="1158">
        <v>34</v>
      </c>
    </row>
    <row r="19" spans="6:23" ht="35.7" customHeight="1">
      <c r="F19" s="1233" t="s">
        <v>1028</v>
      </c>
      <c s="1240" t="s">
        <v>1029</v>
      </c>
      <c s="1239">
        <f>SUM(I19:J19)</f>
        <v>0</v>
      </c>
      <c s="1238"/>
      <c s="1228"/>
      <c s="1237"/>
      <c r="W19" s="1158">
        <v>34</v>
      </c>
    </row>
    <row r="20" spans="6:23" ht="48.3" customHeight="1">
      <c r="F20" s="1233" t="s">
        <v>1030</v>
      </c>
      <c s="1240" t="s">
        <v>1031</v>
      </c>
      <c s="1239">
        <f>SUM(I20:J20)</f>
        <v>0</v>
      </c>
      <c s="1238"/>
      <c s="1228"/>
      <c s="1237"/>
      <c r="W20" s="1158">
        <v>46</v>
      </c>
    </row>
    <row r="21" spans="6:23" ht="35.7" customHeight="1">
      <c r="F21" s="1233" t="s">
        <v>1032</v>
      </c>
      <c s="1240" t="s">
        <v>1033</v>
      </c>
      <c s="1239">
        <f>SUM(I21:J21)</f>
        <v>0</v>
      </c>
      <c s="1238"/>
      <c s="1228"/>
      <c s="1237"/>
      <c r="W21" s="1158">
        <v>34</v>
      </c>
    </row>
    <row r="22" spans="6:23" ht="35.7" customHeight="1">
      <c r="F22" s="1233" t="s">
        <v>1034</v>
      </c>
      <c s="1240" t="s">
        <v>1035</v>
      </c>
      <c s="1239">
        <f>SUM(I22:J22)</f>
        <v>0</v>
      </c>
      <c s="1238"/>
      <c s="1228"/>
      <c s="1237"/>
      <c r="W22" s="1158">
        <v>34</v>
      </c>
    </row>
    <row r="23" spans="6:23" ht="24" customHeight="1">
      <c r="F23" s="1233" t="s">
        <v>1036</v>
      </c>
      <c s="1240" t="s">
        <v>1037</v>
      </c>
      <c s="1239">
        <f>SUM(I23:J23)</f>
        <v>0</v>
      </c>
      <c s="1238"/>
      <c s="1228"/>
      <c s="1237"/>
      <c r="W23" s="1158">
        <v>23</v>
      </c>
    </row>
    <row r="24" spans="6:23" ht="24" customHeight="1">
      <c r="F24" s="1233" t="s">
        <v>1038</v>
      </c>
      <c s="1240" t="s">
        <v>1039</v>
      </c>
      <c s="1239">
        <f>SUM(I24:J24)</f>
        <v>0</v>
      </c>
      <c s="1238"/>
      <c s="1228"/>
      <c s="1237"/>
      <c r="W24" s="1158">
        <v>23</v>
      </c>
    </row>
    <row r="25" spans="6:23" ht="35.7" customHeight="1">
      <c r="F25" s="1233" t="s">
        <v>1040</v>
      </c>
      <c s="1240" t="s">
        <v>1041</v>
      </c>
      <c s="1239">
        <f>SUM(I25:J25)</f>
        <v>0</v>
      </c>
      <c s="1238"/>
      <c s="1228"/>
      <c s="1237"/>
      <c r="W25" s="1158">
        <v>34</v>
      </c>
    </row>
    <row r="26" spans="6:23" ht="35.7" customHeight="1">
      <c r="F26" s="1233" t="s">
        <v>1042</v>
      </c>
      <c s="1240" t="s">
        <v>1043</v>
      </c>
      <c s="1239">
        <f>SUM(I26:J26)</f>
        <v>0</v>
      </c>
      <c s="1238"/>
      <c s="1228"/>
      <c s="1237"/>
      <c r="W26" s="1158">
        <v>34</v>
      </c>
    </row>
    <row r="27" spans="6:23" ht="11.55" customHeight="1">
      <c r="F27" s="1233" t="s">
        <v>1044</v>
      </c>
      <c s="1240" t="s">
        <v>1045</v>
      </c>
      <c s="1239">
        <f>SUM(I27:J27)</f>
        <v>0</v>
      </c>
      <c s="1238"/>
      <c s="1228"/>
      <c s="1237"/>
      <c r="W27" s="1158">
        <v>11</v>
      </c>
    </row>
    <row r="28" spans="6:23" ht="11.55" customHeight="1">
      <c r="F28" s="1233">
        <v>2</v>
      </c>
      <c s="693" t="s">
        <v>1046</v>
      </c>
      <c s="1239">
        <f>SUM(I28:J28)</f>
        <v>0</v>
      </c>
      <c s="1239">
        <f>SUM(I29:I31)</f>
        <v>0</v>
      </c>
      <c s="1228"/>
      <c s="1237"/>
      <c r="W28" s="1158">
        <v>11</v>
      </c>
    </row>
    <row r="29" spans="6:23" ht="11.55" customHeight="1">
      <c r="F29" s="1233" t="s">
        <v>709</v>
      </c>
      <c s="1240" t="s">
        <v>1047</v>
      </c>
      <c s="1239">
        <f>SUM(I29:J29)</f>
        <v>0</v>
      </c>
      <c s="1238"/>
      <c s="1228"/>
      <c s="1237"/>
      <c r="W29" s="1158">
        <v>11</v>
      </c>
    </row>
    <row r="30" spans="6:23" ht="11.55" customHeight="1">
      <c r="F30" s="1233" t="s">
        <v>307</v>
      </c>
      <c s="1240" t="s">
        <v>1048</v>
      </c>
      <c s="1239">
        <f>SUM(I30:J30)</f>
        <v>0</v>
      </c>
      <c s="1238"/>
      <c s="1228"/>
      <c s="1237"/>
      <c r="W30" s="1158">
        <v>11</v>
      </c>
    </row>
    <row r="31" spans="6:23" ht="11.55" customHeight="1">
      <c r="F31" s="1233" t="s">
        <v>310</v>
      </c>
      <c s="1240" t="s">
        <v>1049</v>
      </c>
      <c s="1239">
        <f>SUM(I31:J31)</f>
        <v>0</v>
      </c>
      <c s="1238"/>
      <c s="1228"/>
      <c s="1237"/>
      <c r="W31" s="1158">
        <v>11</v>
      </c>
    </row>
    <row r="32" spans="6:23" ht="11.55" customHeight="1">
      <c r="F32" s="1233">
        <v>3</v>
      </c>
      <c s="693" t="s">
        <v>1050</v>
      </c>
      <c s="1239">
        <f>SUM(I32:J32)</f>
        <v>0</v>
      </c>
      <c s="1239">
        <f>SUM(I33:I34)</f>
        <v>0</v>
      </c>
      <c s="1228"/>
      <c s="1237"/>
      <c r="W32" s="1158">
        <v>11</v>
      </c>
    </row>
    <row r="33" spans="6:23" ht="48.3" customHeight="1">
      <c r="F33" s="1233" t="s">
        <v>324</v>
      </c>
      <c s="1240" t="s">
        <v>1051</v>
      </c>
      <c s="1239">
        <f>SUM(I33:J33)</f>
        <v>0</v>
      </c>
      <c s="1238"/>
      <c s="1228"/>
      <c s="1237"/>
      <c r="W33" s="1158">
        <v>46</v>
      </c>
    </row>
    <row r="34" spans="6:23" ht="11.55" customHeight="1">
      <c r="F34" s="1233" t="s">
        <v>332</v>
      </c>
      <c s="1240" t="s">
        <v>1052</v>
      </c>
      <c s="1239">
        <f>SUM(I34:J34)</f>
        <v>0</v>
      </c>
      <c s="1238"/>
      <c s="1228"/>
      <c s="1237"/>
      <c r="W34" s="1158">
        <v>11</v>
      </c>
    </row>
    <row r="35" spans="6:23" ht="11.55" customHeight="1">
      <c r="F35" s="1233">
        <v>4</v>
      </c>
      <c s="693" t="s">
        <v>1053</v>
      </c>
      <c s="1239">
        <f>SUM(I35:J35)</f>
        <v>0</v>
      </c>
      <c s="1238"/>
      <c s="1228"/>
      <c s="1237"/>
      <c r="W35" s="1158">
        <v>11</v>
      </c>
    </row>
    <row r="36" spans="6:23" ht="11.55" customHeight="1">
      <c r="F36" s="1233"/>
      <c s="696" t="s">
        <v>1054</v>
      </c>
      <c s="1239">
        <f>SUM(I36:J36)</f>
        <v>0</v>
      </c>
      <c s="1239">
        <f>SUM(I15,I28,I32,I35)</f>
        <v>0</v>
      </c>
      <c s="1228"/>
      <c s="1237"/>
      <c r="W36" s="1158">
        <v>11</v>
      </c>
    </row>
    <row r="37" spans="6:23" ht="29.25" customHeight="1">
      <c r="F37" s="1234" t="s">
        <v>1055</v>
      </c>
      <c s="2425" t="s">
        <v>1056</v>
      </c>
      <c s="2425"/>
      <c s="2425"/>
      <c s="2425"/>
      <c s="1237"/>
      <c r="W37" s="1158">
        <v>28</v>
      </c>
    </row>
    <row r="38" spans="6:23" ht="24" customHeight="1">
      <c r="F38" s="1233" t="s">
        <v>109</v>
      </c>
      <c s="693" t="s">
        <v>1057</v>
      </c>
      <c s="1239">
        <f>SUM(I38:J38)</f>
        <v>0</v>
      </c>
      <c s="1239">
        <f>SUM(I39,I44,I47)</f>
        <v>0</v>
      </c>
      <c s="1228"/>
      <c s="1237"/>
      <c r="W38" s="1158">
        <v>23</v>
      </c>
    </row>
    <row r="39" spans="6:23" ht="11.55" customHeight="1">
      <c r="F39" s="1233" t="s">
        <v>1022</v>
      </c>
      <c s="1240" t="s">
        <v>1021</v>
      </c>
      <c s="1239">
        <f>SUM(I39:J39)</f>
        <v>0</v>
      </c>
      <c s="1239">
        <f>SUM(I40:I43)</f>
        <v>0</v>
      </c>
      <c s="1228"/>
      <c s="1237"/>
      <c r="W39" s="1158">
        <v>11</v>
      </c>
    </row>
    <row r="40" spans="6:23" ht="24" customHeight="1">
      <c r="F40" s="1233" t="s">
        <v>1058</v>
      </c>
      <c s="1241" t="s">
        <v>1059</v>
      </c>
      <c s="1239">
        <f>SUM(I40:J40)</f>
        <v>0</v>
      </c>
      <c s="1238"/>
      <c s="1228"/>
      <c s="1237"/>
      <c r="W40" s="1158">
        <v>23</v>
      </c>
    </row>
    <row r="41" spans="6:23" ht="11.55" customHeight="1">
      <c r="F41" s="1233" t="s">
        <v>1060</v>
      </c>
      <c s="1241" t="s">
        <v>1061</v>
      </c>
      <c s="1239">
        <f>SUM(I41:J41)</f>
        <v>0</v>
      </c>
      <c s="1238"/>
      <c s="1228"/>
      <c s="1237"/>
      <c r="W41" s="1158">
        <v>11</v>
      </c>
    </row>
    <row r="42" spans="6:23" ht="11.55" customHeight="1">
      <c r="F42" s="1233" t="s">
        <v>1062</v>
      </c>
      <c s="1241" t="s">
        <v>1063</v>
      </c>
      <c s="1239">
        <f>SUM(I42:J42)</f>
        <v>0</v>
      </c>
      <c s="1238"/>
      <c s="1228"/>
      <c s="1237"/>
      <c r="W42" s="1158">
        <v>11</v>
      </c>
    </row>
    <row r="43" spans="6:23" ht="35.7" customHeight="1">
      <c r="F43" s="1233" t="s">
        <v>1064</v>
      </c>
      <c s="1241" t="s">
        <v>1065</v>
      </c>
      <c s="1239">
        <f>SUM(I43:J43)</f>
        <v>0</v>
      </c>
      <c s="1238"/>
      <c s="1228"/>
      <c s="1237"/>
      <c r="W43" s="1158">
        <v>34</v>
      </c>
    </row>
    <row r="44" spans="6:23" ht="11.55" customHeight="1">
      <c r="F44" s="1233" t="s">
        <v>1024</v>
      </c>
      <c s="1240" t="s">
        <v>1050</v>
      </c>
      <c s="1239">
        <f>SUM(I44:J44)</f>
        <v>0</v>
      </c>
      <c s="1239">
        <f>SUM(I45:I46)</f>
        <v>0</v>
      </c>
      <c s="1228"/>
      <c s="1237"/>
      <c r="W44" s="1158">
        <v>11</v>
      </c>
    </row>
    <row r="45" spans="6:23" ht="48.3" customHeight="1">
      <c r="F45" s="1233" t="s">
        <v>1066</v>
      </c>
      <c s="1241" t="s">
        <v>1051</v>
      </c>
      <c s="1239">
        <f>SUM(I45:J45)</f>
        <v>0</v>
      </c>
      <c s="1238"/>
      <c s="1228"/>
      <c s="1237"/>
      <c r="W45" s="1158">
        <v>46</v>
      </c>
    </row>
    <row r="46" spans="6:23" ht="11.55" customHeight="1">
      <c r="F46" s="1233" t="s">
        <v>1067</v>
      </c>
      <c s="1241" t="s">
        <v>1052</v>
      </c>
      <c s="1239">
        <f>SUM(I46:J46)</f>
        <v>0</v>
      </c>
      <c s="1238"/>
      <c s="1228"/>
      <c s="1237"/>
      <c r="W46" s="1158">
        <v>11</v>
      </c>
    </row>
    <row r="47" spans="6:23" ht="11.55" customHeight="1">
      <c r="F47" s="1233" t="s">
        <v>1026</v>
      </c>
      <c s="1240" t="s">
        <v>1068</v>
      </c>
      <c s="1239">
        <f>SUM(I47:J47)</f>
        <v>0</v>
      </c>
      <c s="1238"/>
      <c s="1228"/>
      <c s="1237"/>
      <c r="W47" s="1158">
        <v>11</v>
      </c>
    </row>
    <row r="48" spans="6:23" ht="24" customHeight="1">
      <c r="F48" s="1233" t="s">
        <v>110</v>
      </c>
      <c s="693" t="s">
        <v>1069</v>
      </c>
      <c s="1239">
        <f>SUM(I48:J48)</f>
        <v>0</v>
      </c>
      <c s="1239">
        <f>SUM(I49,I54,I57)</f>
        <v>0</v>
      </c>
      <c s="1228"/>
      <c s="1237"/>
      <c r="W48" s="1158">
        <v>23</v>
      </c>
    </row>
    <row r="49" spans="6:23" ht="11.55" customHeight="1">
      <c r="F49" s="1233" t="s">
        <v>709</v>
      </c>
      <c s="1240" t="s">
        <v>1021</v>
      </c>
      <c s="1239">
        <f>SUM(I49:J49)</f>
        <v>0</v>
      </c>
      <c s="1239">
        <f>SUM(I50:I53)</f>
        <v>0</v>
      </c>
      <c s="1228"/>
      <c s="1237"/>
      <c r="W49" s="1158">
        <v>11</v>
      </c>
    </row>
    <row r="50" spans="6:23" ht="24" customHeight="1">
      <c r="F50" s="1233" t="s">
        <v>712</v>
      </c>
      <c s="1241" t="s">
        <v>1059</v>
      </c>
      <c s="1239">
        <f>SUM(I50:J50)</f>
        <v>0</v>
      </c>
      <c s="1238"/>
      <c s="1228"/>
      <c s="1237"/>
      <c r="W50" s="1158">
        <v>23</v>
      </c>
    </row>
    <row r="51" spans="6:23" ht="11.55" customHeight="1">
      <c r="F51" s="1233" t="s">
        <v>715</v>
      </c>
      <c s="1241" t="s">
        <v>1061</v>
      </c>
      <c s="1239">
        <f>SUM(I51:J51)</f>
        <v>0</v>
      </c>
      <c s="1238"/>
      <c s="1228"/>
      <c s="1237"/>
      <c r="W51" s="1158">
        <v>11</v>
      </c>
    </row>
    <row r="52" spans="6:23" ht="11.55" customHeight="1">
      <c r="F52" s="1233" t="s">
        <v>1070</v>
      </c>
      <c s="1241" t="s">
        <v>1063</v>
      </c>
      <c s="1239">
        <f>SUM(I52:J52)</f>
        <v>0</v>
      </c>
      <c s="1238"/>
      <c s="1228"/>
      <c s="1237"/>
      <c r="W52" s="1158">
        <v>11</v>
      </c>
    </row>
    <row r="53" spans="6:23" ht="35.7" customHeight="1">
      <c r="F53" s="1233" t="s">
        <v>1071</v>
      </c>
      <c s="1241" t="s">
        <v>1065</v>
      </c>
      <c s="1239">
        <f>SUM(I53:J53)</f>
        <v>0</v>
      </c>
      <c s="1238"/>
      <c s="1228"/>
      <c s="1237"/>
      <c r="W53" s="1158">
        <v>34</v>
      </c>
    </row>
    <row r="54" spans="6:23" ht="11.55" customHeight="1">
      <c r="F54" s="1233" t="s">
        <v>307</v>
      </c>
      <c s="1240" t="s">
        <v>1050</v>
      </c>
      <c s="1239">
        <f>SUM(I54:J54)</f>
        <v>0</v>
      </c>
      <c s="1239">
        <f>SUM(I55:I56)</f>
        <v>0</v>
      </c>
      <c s="1228"/>
      <c s="1237"/>
      <c r="W54" s="1158">
        <v>11</v>
      </c>
    </row>
    <row r="55" spans="6:23" ht="48.3" customHeight="1">
      <c r="F55" s="1233" t="s">
        <v>719</v>
      </c>
      <c s="1241" t="s">
        <v>1051</v>
      </c>
      <c s="1239">
        <f>SUM(I55:J55)</f>
        <v>0</v>
      </c>
      <c s="1238"/>
      <c s="1228"/>
      <c s="1237"/>
      <c r="W55" s="1158">
        <v>46</v>
      </c>
    </row>
    <row r="56" spans="6:23" ht="11.55" customHeight="1">
      <c r="F56" s="1233" t="s">
        <v>721</v>
      </c>
      <c s="1241" t="s">
        <v>1052</v>
      </c>
      <c s="1239">
        <f>SUM(I56:J56)</f>
        <v>0</v>
      </c>
      <c s="1238"/>
      <c s="1228"/>
      <c s="1237"/>
      <c r="W56" s="1158">
        <v>11</v>
      </c>
    </row>
    <row r="57" spans="6:23" ht="11.55" customHeight="1">
      <c r="F57" s="1233" t="s">
        <v>310</v>
      </c>
      <c s="1240" t="s">
        <v>1068</v>
      </c>
      <c s="1239">
        <f>SUM(I57:J57)</f>
        <v>0</v>
      </c>
      <c s="1238"/>
      <c s="1228"/>
      <c s="1237"/>
      <c r="W57" s="1158">
        <v>11</v>
      </c>
    </row>
    <row r="58" spans="6:23" ht="11.55" customHeight="1">
      <c r="F58" s="1233"/>
      <c s="1242" t="s">
        <v>1054</v>
      </c>
      <c s="1239">
        <f>SUM(I58:J58)</f>
        <v>0</v>
      </c>
      <c s="1239">
        <f>SUM(I38,I48)</f>
        <v>0</v>
      </c>
      <c s="1228"/>
      <c s="1237"/>
      <c r="W58" s="1158">
        <v>11</v>
      </c>
    </row>
    <row r="59" spans="1:23" ht="10.5" customHeight="1" hidden="1">
      <c r="A59" s="1169" t="s">
        <v>81</v>
      </c>
      <c s="1169">
        <v>0</v>
      </c>
      <c s="1169">
        <v>0</v>
      </c>
      <c s="1163">
        <v>0</v>
      </c>
      <c s="512">
        <v>3</v>
      </c>
      <c s="1158">
        <v>6</v>
      </c>
      <c s="1158">
        <v>60</v>
      </c>
      <c s="1158">
        <v>0</v>
      </c>
      <c s="1158">
        <v>0</v>
      </c>
      <c s="1158">
        <v>0</v>
      </c>
      <c s="1158">
        <v>1</v>
      </c>
      <c s="1158">
        <v>8</v>
      </c>
      <c s="1158">
        <v>8</v>
      </c>
      <c s="1158">
        <v>8</v>
      </c>
      <c s="1158">
        <v>8</v>
      </c>
      <c s="1158">
        <v>8</v>
      </c>
      <c s="1158">
        <v>8</v>
      </c>
      <c s="1158">
        <v>8</v>
      </c>
      <c s="1158">
        <v>8</v>
      </c>
      <c s="1158">
        <v>8</v>
      </c>
      <c s="1158">
        <v>8</v>
      </c>
      <c s="1158">
        <v>8</v>
      </c>
      <c s="1158">
        <v>10</v>
      </c>
    </row>
  </sheetData>
  <sheetProtection formatColumns="0" formatRows="0" insertRows="0" deleteColumns="0" deleteRows="0" sort="0" autoFilter="0"/>
  <mergeCells count="9">
    <mergeCell ref="F5:J5"/>
    <mergeCell ref="F6:J6"/>
    <mergeCell ref="F9:J9"/>
    <mergeCell ref="G14:J14"/>
    <mergeCell ref="G37:J37"/>
    <mergeCell ref="F10:F12"/>
    <mergeCell ref="H10:J10"/>
    <mergeCell ref="H11:J11"/>
    <mergeCell ref="G10:G12"/>
  </mergeCells>
  <dataValidations count="1">
    <dataValidation type="decimal" allowBlank="1" showErrorMessage="1" errorTitle="Ошибка" error="Допускается ввод только неотрицательных чисел!" sqref="I16:I27 I29:I31 I33:I35 I40:I43 I45:I47 I50:I53 I55:I57">
      <formula1>0</formula1>
      <formula2>9.99999999999999E+23</formula2>
    </dataValidation>
  </dataValidations>
  <pageMargins left="0.7" right="0.7" top="0.75" bottom="0.75" header="0.3" footer="0.3"/>
  <pageSetup orientation="portrait" paperSize="9"/>
</worksheet>
</file>

<file path=xl/worksheets/sheet4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m="http://schemas.microsoft.com/office/excel/2006/main" xmlns:x14ac="http://schemas.microsoft.com/office/spreadsheetml/2009/9/ac" xmlns:xr="http://schemas.microsoft.com/office/spreadsheetml/2014/revision" xmlns:xr2="http://schemas.microsoft.com/office/spreadsheetml/2015/revision2" xmlns:xr3="http://schemas.microsoft.com/office/spreadsheetml/2016/revision3" xr:uid="{E9924C3A-100C-88CD-6DEA-4A392EFC2CAA}" mc:Ignorable="x14ac xr xr2 xr3">
  <sheetPr>
    <tabColor theme="9" tint="-0.249980002641678"/>
  </sheetPr>
  <dimension ref="A1:GC25"/>
  <sheetViews>
    <sheetView showGridLines="0" zoomScale="90" zoomScaleNormal="90" workbookViewId="0" topLeftCell="A1">
      <pane xSplit="14" ySplit="17" topLeftCell="O18" activePane="bottomRight" state="frozen"/>
      <selection pane="topLeft" activeCell="A1" sqref="A1"/>
      <selection pane="bottomLeft" activeCell="A18" sqref="A18"/>
      <selection pane="topRight" activeCell="O1" sqref="O1"/>
      <selection pane="bottomRight" activeCell="A1" sqref="A1"/>
    </sheetView>
  </sheetViews>
  <sheetFormatPr defaultColWidth="9.14428571428571" defaultRowHeight="12" customHeight="1"/>
  <cols>
    <col min="1" max="1" width="4.71428571428571" style="1066" hidden="1" customWidth="1"/>
    <col min="2" max="2" width="4.71428571428571" style="939" hidden="1" customWidth="1"/>
    <col min="3" max="4" width="4.71428571428571" style="1066" hidden="1" customWidth="1"/>
    <col min="5" max="5" width="3" style="1066" customWidth="1"/>
    <col min="6" max="6" width="6" style="1066" customWidth="1"/>
    <col min="7" max="7" width="18" style="1066" customWidth="1"/>
    <col min="8" max="8" width="27" style="1066" customWidth="1"/>
    <col min="9" max="9" width="18" style="1066" customWidth="1"/>
    <col min="10" max="14" width="0.857142857142857" style="1066" hidden="1" customWidth="1"/>
    <col min="15" max="28" width="21.7142857142857" style="1066" hidden="1" customWidth="1"/>
    <col min="29" max="71" width="0.857142857142857" style="1066" hidden="1" customWidth="1"/>
    <col min="72" max="79" width="21.7142857142857" style="1066" hidden="1" customWidth="1"/>
    <col min="80" max="81" width="29.1428571428571" style="1066" hidden="1" customWidth="1"/>
    <col min="82" max="89" width="21.7142857142857" style="1066" hidden="1" customWidth="1"/>
    <col min="90" max="102" width="0.714285714285714" style="1066" hidden="1" customWidth="1"/>
    <col min="103" max="114" width="21.7142857142857" style="1066" customWidth="1"/>
    <col min="115" max="128" width="0.714285714285714" style="1066" customWidth="1"/>
    <col min="129" max="178" width="0.714285714285714" style="1066" hidden="1" customWidth="1"/>
    <col min="179" max="179" width="0.142857142857143" style="1066" customWidth="1"/>
    <col min="180" max="184" width="8" style="1066" customWidth="1"/>
    <col min="185" max="185" width="9.14285714285714" style="1066" hidden="1"/>
  </cols>
  <sheetData>
    <row r="1" spans="2:4 185:185" s="928" customFormat="1" ht="12" customHeight="1" hidden="1">
      <c r="B1" s="926"/>
      <c s="927"/>
      <c s="927"/>
      <c r="GC1" s="925" t="s">
        <v>14</v>
      </c>
    </row>
    <row r="2" spans="2:185" s="928" customFormat="1" ht="12" customHeight="1" hidden="1">
      <c r="B2" s="926"/>
      <c s="927"/>
      <c s="927"/>
      <c s="927"/>
      <c s="927"/>
      <c s="927"/>
      <c s="927"/>
      <c s="927"/>
      <c s="927"/>
      <c s="927"/>
      <c s="927"/>
      <c s="927"/>
      <c s="927"/>
      <c s="927"/>
      <c s="927"/>
      <c s="927"/>
      <c s="927"/>
      <c s="927"/>
      <c s="927"/>
      <c s="927"/>
      <c s="927"/>
      <c s="927"/>
      <c s="927"/>
      <c s="927"/>
      <c s="927"/>
      <c s="927"/>
      <c s="928"/>
      <c s="927"/>
      <c s="927"/>
      <c s="927"/>
      <c s="927"/>
      <c s="927"/>
      <c s="927"/>
      <c s="927"/>
      <c s="927"/>
      <c s="927"/>
      <c s="927"/>
      <c s="927"/>
      <c s="927"/>
      <c s="927"/>
      <c s="927"/>
      <c s="927"/>
      <c s="927"/>
      <c s="927"/>
      <c s="927"/>
      <c s="927"/>
      <c s="927"/>
      <c s="927"/>
      <c s="927"/>
      <c s="927"/>
      <c s="927"/>
      <c s="927"/>
      <c s="927"/>
      <c s="927"/>
      <c s="927"/>
      <c s="927"/>
      <c s="927"/>
      <c s="927"/>
      <c s="927"/>
      <c s="927"/>
      <c s="927"/>
      <c s="927"/>
      <c s="927"/>
      <c s="927"/>
      <c s="927"/>
      <c s="927"/>
      <c s="927"/>
      <c s="927"/>
      <c s="927"/>
      <c s="927"/>
      <c s="927"/>
      <c s="927"/>
      <c s="927"/>
      <c s="927"/>
      <c s="927"/>
      <c s="927"/>
      <c s="927"/>
      <c s="927"/>
      <c s="927"/>
      <c s="927"/>
      <c s="927"/>
      <c s="927"/>
      <c s="927"/>
      <c s="927"/>
      <c s="927"/>
      <c s="927"/>
      <c s="927"/>
      <c s="927"/>
      <c s="927"/>
      <c s="927"/>
      <c s="927"/>
      <c s="927"/>
      <c s="927"/>
      <c s="927"/>
      <c s="927"/>
      <c s="927"/>
      <c s="927"/>
      <c s="927"/>
      <c s="927"/>
      <c s="927"/>
      <c s="927"/>
      <c s="927"/>
      <c s="927"/>
      <c s="927"/>
      <c s="927"/>
      <c s="927"/>
      <c s="927"/>
      <c s="927"/>
      <c s="927"/>
      <c s="927"/>
      <c s="927"/>
      <c s="927"/>
      <c s="927"/>
      <c s="927"/>
      <c s="927"/>
      <c s="927"/>
      <c s="927"/>
      <c s="927"/>
      <c s="927"/>
      <c s="927"/>
      <c s="927"/>
      <c s="927"/>
      <c s="927"/>
      <c s="927"/>
      <c s="927"/>
      <c s="927"/>
      <c s="927"/>
      <c s="927"/>
      <c s="927"/>
      <c s="927"/>
      <c s="927"/>
      <c s="927"/>
      <c s="927"/>
      <c s="927"/>
      <c s="927"/>
      <c s="927"/>
      <c s="927"/>
      <c s="927"/>
      <c s="927"/>
      <c s="927"/>
      <c s="927"/>
      <c s="927"/>
      <c s="927"/>
      <c s="927"/>
      <c s="927"/>
      <c s="927"/>
      <c s="927"/>
      <c s="927"/>
      <c s="927"/>
      <c s="927"/>
      <c s="927"/>
      <c s="927"/>
      <c s="927"/>
      <c s="927"/>
      <c s="927"/>
      <c s="927"/>
      <c s="927"/>
      <c s="927"/>
      <c s="927"/>
      <c s="927"/>
      <c s="927"/>
      <c s="927"/>
      <c s="927"/>
      <c s="927"/>
      <c s="927"/>
      <c s="927"/>
      <c s="927"/>
      <c s="927"/>
      <c s="927"/>
      <c s="927"/>
      <c s="927"/>
      <c s="927"/>
      <c s="927"/>
      <c s="927"/>
      <c s="927"/>
      <c s="927"/>
      <c s="927"/>
      <c s="927"/>
      <c r="GC2" s="925">
        <v>0</v>
      </c>
    </row>
    <row r="3" spans="2:185" s="928" customFormat="1" ht="12" customHeight="1" hidden="1">
      <c r="B3" s="926"/>
      <c s="927"/>
      <c s="927"/>
      <c s="927"/>
      <c s="927"/>
      <c s="927"/>
      <c s="927"/>
      <c s="927"/>
      <c s="927"/>
      <c s="927"/>
      <c s="927"/>
      <c s="927"/>
      <c s="927"/>
      <c s="927"/>
      <c s="927"/>
      <c s="927"/>
      <c s="927"/>
      <c s="927"/>
      <c s="927"/>
      <c s="927"/>
      <c s="927"/>
      <c s="927"/>
      <c s="927"/>
      <c s="927"/>
      <c s="927"/>
      <c s="927"/>
      <c s="928"/>
      <c s="927"/>
      <c s="927"/>
      <c s="927"/>
      <c s="927"/>
      <c s="927"/>
      <c s="927"/>
      <c s="927"/>
      <c s="927"/>
      <c s="927"/>
      <c s="927"/>
      <c s="927"/>
      <c s="927"/>
      <c s="927"/>
      <c s="927"/>
      <c s="927"/>
      <c s="927"/>
      <c s="927"/>
      <c s="927"/>
      <c s="927"/>
      <c s="927"/>
      <c s="927"/>
      <c s="927"/>
      <c s="927"/>
      <c s="927"/>
      <c s="927"/>
      <c s="927"/>
      <c s="927"/>
      <c s="927"/>
      <c s="927"/>
      <c s="927"/>
      <c s="927"/>
      <c s="927"/>
      <c s="927"/>
      <c s="927"/>
      <c s="927"/>
      <c s="927"/>
      <c s="927"/>
      <c s="927"/>
      <c s="927"/>
      <c s="927"/>
      <c s="927"/>
      <c s="927"/>
      <c s="927"/>
      <c s="927"/>
      <c s="927"/>
      <c s="927"/>
      <c s="927"/>
      <c s="927"/>
      <c s="927"/>
      <c s="927"/>
      <c s="927"/>
      <c s="927"/>
      <c s="927"/>
      <c s="927"/>
      <c s="927"/>
      <c s="927"/>
      <c s="927"/>
      <c s="927"/>
      <c s="927"/>
      <c s="927"/>
      <c s="927"/>
      <c s="927"/>
      <c s="927"/>
      <c s="927"/>
      <c s="927"/>
      <c s="927"/>
      <c s="927"/>
      <c s="927"/>
      <c s="927"/>
      <c s="927"/>
      <c s="927"/>
      <c s="927"/>
      <c s="927"/>
      <c s="927"/>
      <c s="927"/>
      <c s="927"/>
      <c s="927"/>
      <c s="927"/>
      <c s="927"/>
      <c s="927"/>
      <c s="927"/>
      <c s="927"/>
      <c s="927"/>
      <c s="927"/>
      <c s="927"/>
      <c s="927"/>
      <c s="927"/>
      <c s="927"/>
      <c s="927"/>
      <c s="927"/>
      <c s="927"/>
      <c s="927"/>
      <c s="927"/>
      <c s="927"/>
      <c s="927"/>
      <c s="927"/>
      <c s="927"/>
      <c s="927"/>
      <c s="927"/>
      <c s="927"/>
      <c s="927"/>
      <c s="927"/>
      <c s="927"/>
      <c s="927"/>
      <c s="927"/>
      <c s="927"/>
      <c s="927"/>
      <c s="927"/>
      <c s="927"/>
      <c s="927"/>
      <c s="927"/>
      <c s="927"/>
      <c s="927"/>
      <c s="927"/>
      <c s="927"/>
      <c s="927"/>
      <c s="927"/>
      <c s="927"/>
      <c s="927"/>
      <c s="927"/>
      <c s="927"/>
      <c s="927"/>
      <c s="927"/>
      <c s="927"/>
      <c s="927"/>
      <c s="927"/>
      <c s="927"/>
      <c s="927"/>
      <c s="927"/>
      <c s="927"/>
      <c s="927"/>
      <c s="927"/>
      <c s="927"/>
      <c s="927"/>
      <c s="927"/>
      <c s="927"/>
      <c s="927"/>
      <c s="927"/>
      <c s="927"/>
      <c s="927"/>
      <c s="927"/>
      <c s="927"/>
      <c s="927"/>
      <c s="927"/>
      <c s="927"/>
      <c s="927"/>
      <c s="927"/>
      <c s="927"/>
      <c s="927"/>
      <c s="927"/>
      <c s="927"/>
      <c r="GC3" s="925">
        <v>0</v>
      </c>
    </row>
    <row r="4" spans="2:185" ht="10.5" customHeight="1">
      <c r="B4" s="930"/>
      <c s="931"/>
      <c s="931"/>
      <c s="931"/>
      <c s="931"/>
      <c s="931"/>
      <c s="932"/>
      <c s="932"/>
      <c s="932"/>
      <c s="932"/>
      <c s="932"/>
      <c s="933"/>
      <c s="933"/>
      <c s="933"/>
      <c s="933"/>
      <c s="933"/>
      <c s="933"/>
      <c s="933"/>
      <c s="933"/>
      <c s="933"/>
      <c s="933"/>
      <c s="933"/>
      <c s="933"/>
      <c s="933"/>
      <c s="933"/>
      <c s="933"/>
      <c s="933"/>
      <c s="933"/>
      <c s="933"/>
      <c s="933"/>
      <c s="933"/>
      <c s="933"/>
      <c s="933"/>
      <c s="933"/>
      <c s="933"/>
      <c s="933"/>
      <c s="933"/>
      <c s="933"/>
      <c s="933"/>
      <c s="933"/>
      <c s="933"/>
      <c s="933"/>
      <c s="933"/>
      <c s="933"/>
      <c s="933"/>
      <c s="933"/>
      <c s="933"/>
      <c s="933"/>
      <c s="933"/>
      <c s="933"/>
      <c s="933"/>
      <c s="933"/>
      <c s="933"/>
      <c s="933"/>
      <c s="933"/>
      <c s="933"/>
      <c s="933"/>
      <c s="933"/>
      <c s="933"/>
      <c s="933"/>
      <c s="933"/>
      <c s="933"/>
      <c s="933"/>
      <c s="933"/>
      <c s="933"/>
      <c s="933"/>
      <c s="933"/>
      <c s="933"/>
      <c s="933"/>
      <c s="933"/>
      <c s="933"/>
      <c s="933"/>
      <c s="933"/>
      <c s="933"/>
      <c s="933"/>
      <c s="933"/>
      <c s="933"/>
      <c s="933"/>
      <c s="933"/>
      <c s="933"/>
      <c s="933"/>
      <c s="933"/>
      <c s="933"/>
      <c s="933"/>
      <c s="933"/>
      <c s="933"/>
      <c s="933"/>
      <c s="933"/>
      <c s="933"/>
      <c s="933"/>
      <c s="933"/>
      <c s="933"/>
      <c s="933"/>
      <c s="933"/>
      <c s="933"/>
      <c s="933"/>
      <c s="933"/>
      <c s="933"/>
      <c s="933"/>
      <c s="933"/>
      <c s="933"/>
      <c s="933"/>
      <c s="933"/>
      <c s="933"/>
      <c s="933"/>
      <c s="933"/>
      <c s="933"/>
      <c s="933"/>
      <c s="933"/>
      <c s="933"/>
      <c s="933"/>
      <c s="933"/>
      <c s="933"/>
      <c s="933"/>
      <c s="933"/>
      <c s="933"/>
      <c s="933"/>
      <c s="933"/>
      <c s="933"/>
      <c s="933"/>
      <c s="933"/>
      <c s="933"/>
      <c s="933"/>
      <c s="933"/>
      <c s="933"/>
      <c s="933"/>
      <c s="933"/>
      <c s="933"/>
      <c s="933"/>
      <c s="933"/>
      <c s="933"/>
      <c s="933"/>
      <c s="933"/>
      <c s="933"/>
      <c s="933"/>
      <c s="933"/>
      <c s="933"/>
      <c s="933"/>
      <c s="933"/>
      <c s="933"/>
      <c s="933"/>
      <c s="933"/>
      <c s="933"/>
      <c s="933"/>
      <c s="933"/>
      <c s="933"/>
      <c s="933"/>
      <c s="933"/>
      <c s="933"/>
      <c s="933"/>
      <c s="933"/>
      <c s="933"/>
      <c s="933"/>
      <c s="933"/>
      <c s="933"/>
      <c s="933"/>
      <c s="933"/>
      <c s="933"/>
      <c s="933"/>
      <c s="933"/>
      <c s="933"/>
      <c s="933"/>
      <c s="933"/>
      <c s="933"/>
      <c s="933"/>
      <c s="933"/>
      <c s="933"/>
      <c s="933"/>
      <c s="933"/>
      <c s="933"/>
      <c s="933"/>
      <c s="933"/>
      <c s="933"/>
      <c s="933"/>
      <c s="933"/>
      <c s="933"/>
      <c s="933"/>
      <c s="933"/>
      <c r="GC4" s="929">
        <v>10</v>
      </c>
    </row>
    <row r="5" spans="2:71 185:185" s="1876" customFormat="1" ht="27.3" customHeight="1">
      <c r="B5" s="1875"/>
      <c r="E5" s="1877"/>
      <c s="2435" t="str">
        <f>IP_NAME_FORM&amp;"
Показатели качества, надежности и энергетической эффективности в сфере "&amp;TEMPLATE_SPHERE_RUS</f>
        <v>Форма 7. Информация об инвестиционных программах организации водоотведения и отчетах об их исполнении
Показатели качества, надежности и энергетической эффективности в сфере водоотведения</v>
      </c>
      <c s="2172"/>
      <c s="2172"/>
      <c s="2172"/>
      <c s="2172"/>
      <c s="2172"/>
      <c s="2172"/>
      <c s="2172"/>
      <c s="2172"/>
      <c s="2172"/>
      <c s="2172"/>
      <c s="2172"/>
      <c s="2172"/>
      <c s="2172"/>
      <c s="2172"/>
      <c s="2172"/>
      <c s="2172"/>
      <c s="2172"/>
      <c s="2172"/>
      <c s="2172"/>
      <c s="2172"/>
      <c s="2172"/>
      <c s="2172"/>
      <c s="2172"/>
      <c s="2172"/>
      <c s="2172"/>
      <c s="2172"/>
      <c s="2172"/>
      <c s="2172"/>
      <c s="2172"/>
      <c s="2172"/>
      <c s="2172"/>
      <c s="2172"/>
      <c s="2172"/>
      <c s="2172"/>
      <c s="2172"/>
      <c s="2172"/>
      <c s="2172"/>
      <c s="2172"/>
      <c s="2172"/>
      <c s="2172"/>
      <c s="2172"/>
      <c s="2172"/>
      <c s="2172"/>
      <c s="2172"/>
      <c s="2172"/>
      <c s="2172"/>
      <c s="2172"/>
      <c s="2172"/>
      <c s="2172"/>
      <c s="2172"/>
      <c s="2172"/>
      <c s="2172"/>
      <c s="2172"/>
      <c s="2172"/>
      <c s="2172"/>
      <c s="2172"/>
      <c s="2172"/>
      <c s="2172"/>
      <c s="2172"/>
      <c s="2172"/>
      <c s="2172"/>
      <c s="2172"/>
      <c s="2172"/>
      <c s="2172"/>
      <c s="2172"/>
      <c r="GC5" s="1876">
        <v>26</v>
      </c>
    </row>
    <row r="6" spans="2:71 185:185" s="2141" customFormat="1" ht="18.75" customHeight="1">
      <c r="B6" s="946"/>
      <c r="E6" s="948"/>
      <c s="2217" t="str">
        <f>IF(org=0,"Не определено",org)</f>
        <v>ГУП КК "Кубаньводкомплекс"</v>
      </c>
      <c s="2218"/>
      <c s="2218"/>
      <c s="2218"/>
      <c s="2218"/>
      <c s="2218"/>
      <c s="2218"/>
      <c s="2218"/>
      <c s="2218"/>
      <c s="2218"/>
      <c s="2218"/>
      <c s="2218"/>
      <c s="2218"/>
      <c s="2218"/>
      <c s="2218"/>
      <c s="2218"/>
      <c s="2218"/>
      <c s="2218"/>
      <c s="2218"/>
      <c s="2218"/>
      <c s="2218"/>
      <c s="2218"/>
      <c s="2218"/>
      <c s="2218"/>
      <c s="2218"/>
      <c s="2218"/>
      <c s="2218"/>
      <c s="2218"/>
      <c s="2218"/>
      <c s="2218"/>
      <c s="2218"/>
      <c s="2218"/>
      <c s="2218"/>
      <c s="2218"/>
      <c s="2218"/>
      <c s="2218"/>
      <c s="2218"/>
      <c s="2218"/>
      <c s="2218"/>
      <c s="2218"/>
      <c s="2218"/>
      <c s="2218"/>
      <c s="2218"/>
      <c s="2218"/>
      <c s="2218"/>
      <c s="2218"/>
      <c s="2218"/>
      <c s="2218"/>
      <c s="2218"/>
      <c s="2218"/>
      <c s="2218"/>
      <c s="2218"/>
      <c s="2218"/>
      <c s="2218"/>
      <c s="2218"/>
      <c s="2218"/>
      <c s="2218"/>
      <c s="2218"/>
      <c s="2218"/>
      <c s="2218"/>
      <c s="2218"/>
      <c s="2218"/>
      <c s="2218"/>
      <c s="2218"/>
      <c s="2218"/>
      <c s="2218"/>
      <c r="GC6" s="947">
        <v>18</v>
      </c>
    </row>
    <row r="7" spans="2:185" s="936" customFormat="1" ht="10.5" customHeight="1">
      <c r="B7" s="935"/>
      <c r="E7" s="936"/>
      <c s="936"/>
      <c s="938"/>
      <c s="932"/>
      <c s="932"/>
      <c s="932"/>
      <c s="932"/>
      <c s="932"/>
      <c s="936"/>
      <c s="936"/>
      <c s="936"/>
      <c s="936"/>
      <c s="936"/>
      <c s="936"/>
      <c s="936"/>
      <c s="936"/>
      <c s="936"/>
      <c s="936"/>
      <c s="936"/>
      <c s="936"/>
      <c s="936"/>
      <c s="936"/>
      <c s="936"/>
      <c s="936"/>
      <c s="936"/>
      <c s="936"/>
      <c s="936"/>
      <c s="936"/>
      <c s="936"/>
      <c s="936"/>
      <c s="936"/>
      <c s="936"/>
      <c s="936"/>
      <c s="936"/>
      <c s="936"/>
      <c s="936"/>
      <c s="936"/>
      <c s="936"/>
      <c s="936"/>
      <c s="936"/>
      <c s="936"/>
      <c s="936"/>
      <c s="936"/>
      <c s="936"/>
      <c s="936"/>
      <c s="936"/>
      <c s="936"/>
      <c s="936"/>
      <c s="936"/>
      <c s="936"/>
      <c s="936"/>
      <c s="936"/>
      <c s="936"/>
      <c s="936"/>
      <c s="936"/>
      <c s="936"/>
      <c s="936"/>
      <c s="936"/>
      <c s="936"/>
      <c s="936"/>
      <c s="936"/>
      <c s="936"/>
      <c s="936"/>
      <c s="936"/>
      <c s="936"/>
      <c s="936"/>
      <c s="936"/>
      <c s="936"/>
      <c s="936"/>
      <c s="936"/>
      <c s="936"/>
      <c s="936"/>
      <c s="936"/>
      <c s="936"/>
      <c s="936"/>
      <c s="936"/>
      <c s="936"/>
      <c s="936"/>
      <c s="936"/>
      <c s="936"/>
      <c s="936"/>
      <c s="936"/>
      <c s="936"/>
      <c s="936"/>
      <c s="936"/>
      <c s="936"/>
      <c s="936"/>
      <c s="936"/>
      <c s="936"/>
      <c s="936"/>
      <c s="936"/>
      <c s="936"/>
      <c s="936"/>
      <c s="936"/>
      <c s="936"/>
      <c s="936"/>
      <c s="936"/>
      <c s="936"/>
      <c s="936"/>
      <c s="936"/>
      <c s="936"/>
      <c s="936"/>
      <c s="936"/>
      <c s="936"/>
      <c s="936"/>
      <c s="936"/>
      <c s="936"/>
      <c s="936"/>
      <c s="936"/>
      <c s="936"/>
      <c s="936"/>
      <c s="936"/>
      <c s="936"/>
      <c s="936"/>
      <c s="936"/>
      <c s="936"/>
      <c s="936"/>
      <c s="936"/>
      <c s="936"/>
      <c s="936"/>
      <c s="936"/>
      <c s="936"/>
      <c s="936"/>
      <c s="936"/>
      <c s="936"/>
      <c s="936"/>
      <c s="936"/>
      <c s="936"/>
      <c s="936"/>
      <c s="936"/>
      <c s="936"/>
      <c s="936"/>
      <c s="936"/>
      <c s="936"/>
      <c s="936"/>
      <c s="936"/>
      <c s="936"/>
      <c s="936"/>
      <c s="936"/>
      <c s="936"/>
      <c s="936"/>
      <c s="936"/>
      <c s="936"/>
      <c s="936"/>
      <c s="936"/>
      <c s="936"/>
      <c s="936"/>
      <c s="936"/>
      <c s="936"/>
      <c s="936"/>
      <c s="936"/>
      <c s="936"/>
      <c s="936"/>
      <c s="936"/>
      <c s="936"/>
      <c s="936"/>
      <c s="936"/>
      <c s="936"/>
      <c s="936"/>
      <c s="936"/>
      <c s="936"/>
      <c s="936"/>
      <c s="936"/>
      <c s="936"/>
      <c s="936"/>
      <c s="936"/>
      <c s="936"/>
      <c s="936"/>
      <c s="936"/>
      <c s="936"/>
      <c s="936"/>
      <c s="936"/>
      <c s="936"/>
      <c s="936"/>
      <c s="936"/>
      <c r="GC7" s="934">
        <v>10</v>
      </c>
    </row>
    <row r="8" spans="2:185" s="936" customFormat="1" ht="11.25" customHeight="1" hidden="1">
      <c r="B8" s="937"/>
      <c r="F8" s="1059"/>
      <c s="766"/>
      <c s="363"/>
      <c s="363"/>
      <c s="363"/>
      <c s="363"/>
      <c s="363"/>
      <c s="1059"/>
      <c s="1059"/>
      <c s="2453" t="s">
        <v>1072</v>
      </c>
      <c s="2454"/>
      <c s="2454"/>
      <c s="2454"/>
      <c s="2454"/>
      <c s="2454"/>
      <c s="2454"/>
      <c s="2454"/>
      <c s="2454"/>
      <c s="2454"/>
      <c s="2454"/>
      <c s="2454"/>
      <c s="2454"/>
      <c s="2454"/>
      <c s="2454"/>
      <c s="2454"/>
      <c s="2454"/>
      <c s="2454"/>
      <c s="2454"/>
      <c s="2454"/>
      <c s="2454"/>
      <c s="2454"/>
      <c s="2454"/>
      <c s="2454"/>
      <c s="2454"/>
      <c s="2454"/>
      <c s="2454"/>
      <c s="2454"/>
      <c s="2454"/>
      <c s="2454"/>
      <c s="2454"/>
      <c s="2454"/>
      <c s="2454"/>
      <c s="2454"/>
      <c s="2454"/>
      <c s="2454"/>
      <c s="2454"/>
      <c s="2454"/>
      <c s="2454"/>
      <c s="2454"/>
      <c s="2454"/>
      <c s="2454"/>
      <c s="2454"/>
      <c s="2454"/>
      <c s="2454"/>
      <c s="2454"/>
      <c s="2454"/>
      <c s="2454"/>
      <c s="2454"/>
      <c s="2454"/>
      <c s="2454"/>
      <c s="2454"/>
      <c s="2454"/>
      <c s="2454"/>
      <c s="2454"/>
      <c s="2454"/>
      <c s="2455"/>
      <c s="2442"/>
      <c s="2443"/>
      <c s="2443"/>
      <c s="2443"/>
      <c s="2443"/>
      <c s="2443"/>
      <c s="2443"/>
      <c s="2443"/>
      <c s="2443"/>
      <c s="2443"/>
      <c s="2443"/>
      <c s="2443"/>
      <c s="2443"/>
      <c s="2443"/>
      <c s="2443"/>
      <c s="2443"/>
      <c s="2443"/>
      <c s="2443"/>
      <c s="2443"/>
      <c s="2443"/>
      <c s="2443"/>
      <c s="2443"/>
      <c s="2443"/>
      <c s="2443"/>
      <c s="2443"/>
      <c s="2443"/>
      <c s="2443"/>
      <c s="2443"/>
      <c s="2443"/>
      <c s="2443"/>
      <c s="2444"/>
      <c s="2445"/>
      <c s="2446"/>
      <c s="2446"/>
      <c s="2446"/>
      <c s="2446"/>
      <c s="2446"/>
      <c s="2446"/>
      <c s="2446"/>
      <c s="2446"/>
      <c s="2446"/>
      <c s="2446"/>
      <c s="2446"/>
      <c s="2446"/>
      <c s="2446"/>
      <c s="2446"/>
      <c s="2446"/>
      <c s="2446"/>
      <c s="2446"/>
      <c s="2446"/>
      <c s="2446"/>
      <c s="2446"/>
      <c s="2446"/>
      <c s="2446"/>
      <c s="2446"/>
      <c s="2446"/>
      <c s="2447"/>
      <c s="2448" t="s">
        <v>1073</v>
      </c>
      <c s="2449"/>
      <c s="2449"/>
      <c s="2449"/>
      <c s="2449"/>
      <c s="2449"/>
      <c s="2449"/>
      <c s="2449"/>
      <c s="2449"/>
      <c s="2449"/>
      <c s="2449"/>
      <c s="2449"/>
      <c s="2449"/>
      <c s="2449"/>
      <c s="2449"/>
      <c s="2449"/>
      <c s="2449"/>
      <c s="2449"/>
      <c s="2449"/>
      <c s="2449"/>
      <c s="2449"/>
      <c s="2449"/>
      <c s="2449"/>
      <c s="2449"/>
      <c s="2449"/>
      <c s="2449"/>
      <c s="2449"/>
      <c s="2449"/>
      <c s="2449"/>
      <c s="2449"/>
      <c s="2449"/>
      <c s="2449"/>
      <c s="2449"/>
      <c s="2449"/>
      <c s="2449"/>
      <c s="2449"/>
      <c s="2449"/>
      <c s="2449"/>
      <c s="2449"/>
      <c s="2449"/>
      <c s="2449"/>
      <c s="2449"/>
      <c s="2449"/>
      <c s="2449"/>
      <c s="2449"/>
      <c s="2449"/>
      <c s="2449"/>
      <c s="2449"/>
      <c s="2449"/>
      <c s="2449"/>
      <c s="2450"/>
      <c s="1059"/>
      <c r="GC8" s="936">
        <v>0</v>
      </c>
    </row>
    <row r="9" spans="2:185" s="936" customFormat="1" ht="11.25" customHeight="1" hidden="1">
      <c r="B9" s="937"/>
      <c r="F9" s="1059"/>
      <c s="766"/>
      <c s="363"/>
      <c s="363"/>
      <c s="363"/>
      <c s="363"/>
      <c s="363"/>
      <c s="1059"/>
      <c s="1059"/>
      <c s="1059"/>
      <c s="1059"/>
      <c s="1059"/>
      <c s="1059"/>
      <c s="1059"/>
      <c s="1059"/>
      <c s="1059"/>
      <c s="1059"/>
      <c s="1059"/>
      <c s="1059"/>
      <c s="1059"/>
      <c s="1059"/>
      <c s="1059"/>
      <c s="1059"/>
      <c s="1059"/>
      <c s="1059"/>
      <c s="1059"/>
      <c s="1059"/>
      <c s="1059"/>
      <c s="1059"/>
      <c s="1059"/>
      <c s="1059"/>
      <c s="1059"/>
      <c s="1059"/>
      <c s="1059"/>
      <c s="1059"/>
      <c s="1059"/>
      <c s="1059"/>
      <c s="1059"/>
      <c s="1059"/>
      <c s="1059"/>
      <c s="1059"/>
      <c s="1059"/>
      <c s="1059"/>
      <c s="1059"/>
      <c s="1059"/>
      <c s="1059"/>
      <c s="1059"/>
      <c s="1059"/>
      <c s="1059"/>
      <c s="1059"/>
      <c s="1059"/>
      <c s="1059"/>
      <c s="1059"/>
      <c s="1059"/>
      <c s="1059"/>
      <c s="1059"/>
      <c s="1059"/>
      <c s="1059"/>
      <c s="1059"/>
      <c s="1059"/>
      <c s="1059"/>
      <c s="1059"/>
      <c s="1059"/>
      <c s="1059"/>
      <c s="1059"/>
      <c s="1059"/>
      <c s="1059"/>
      <c s="1059"/>
      <c s="1059"/>
      <c s="1059"/>
      <c s="1059"/>
      <c s="1059"/>
      <c s="1059"/>
      <c s="1059"/>
      <c s="1059"/>
      <c s="1059"/>
      <c s="1059"/>
      <c s="1059"/>
      <c s="1059"/>
      <c s="1059"/>
      <c s="1059"/>
      <c s="1059"/>
      <c s="1059"/>
      <c s="1059"/>
      <c s="1059"/>
      <c s="1059"/>
      <c s="1059"/>
      <c s="1059"/>
      <c s="1059"/>
      <c s="1059"/>
      <c s="1059"/>
      <c s="1059"/>
      <c s="1059"/>
      <c s="1059"/>
      <c s="1059"/>
      <c s="1059"/>
      <c s="1059"/>
      <c s="1059"/>
      <c s="1059"/>
      <c s="1059"/>
      <c s="1059"/>
      <c s="1059"/>
      <c s="1059"/>
      <c s="1059"/>
      <c s="1059"/>
      <c s="1059"/>
      <c s="1059"/>
      <c s="1059"/>
      <c s="1059"/>
      <c s="1059"/>
      <c s="1059"/>
      <c s="1059"/>
      <c s="1059"/>
      <c s="1059"/>
      <c s="1059"/>
      <c s="1059"/>
      <c s="1059"/>
      <c s="1059"/>
      <c s="1059"/>
      <c s="1059"/>
      <c s="1059"/>
      <c s="1059"/>
      <c s="1059"/>
      <c s="1059"/>
      <c s="1059"/>
      <c s="1059"/>
      <c s="1059"/>
      <c s="1059"/>
      <c s="1059"/>
      <c s="1059"/>
      <c s="1059"/>
      <c s="1059"/>
      <c s="1059"/>
      <c s="1059"/>
      <c s="1059"/>
      <c s="1059"/>
      <c s="1059"/>
      <c s="1059"/>
      <c s="1059"/>
      <c s="1059"/>
      <c s="1059"/>
      <c s="1059"/>
      <c s="1059"/>
      <c s="1059"/>
      <c s="1059"/>
      <c s="1059"/>
      <c s="1059"/>
      <c s="1059"/>
      <c s="1059"/>
      <c s="1059"/>
      <c s="1059"/>
      <c s="1059"/>
      <c s="1059"/>
      <c s="1059"/>
      <c s="1059"/>
      <c s="1059"/>
      <c s="1059"/>
      <c s="1059"/>
      <c s="1059"/>
      <c s="1059"/>
      <c s="1059"/>
      <c s="1059"/>
      <c s="1059"/>
      <c s="1059"/>
      <c s="1059"/>
      <c s="1059"/>
      <c s="1059"/>
      <c s="1059"/>
      <c s="1059"/>
      <c s="1059"/>
      <c s="1059"/>
      <c s="1059"/>
      <c s="1059"/>
      <c s="2451"/>
      <c s="1059"/>
      <c r="GC9" s="936">
        <v>0</v>
      </c>
    </row>
    <row r="10" spans="2:185" s="936" customFormat="1" ht="11.55" customHeight="1">
      <c r="B10" s="937"/>
      <c r="F10" s="2432" t="s">
        <v>300</v>
      </c>
      <c s="2433"/>
      <c s="2433"/>
      <c s="2433"/>
      <c s="2433"/>
      <c s="2433"/>
      <c s="2433"/>
      <c s="2433"/>
      <c s="2433"/>
      <c s="2433"/>
      <c s="2433"/>
      <c s="2433"/>
      <c s="2433"/>
      <c s="2433"/>
      <c s="2433"/>
      <c s="2433"/>
      <c s="2433"/>
      <c s="2433"/>
      <c s="2433"/>
      <c s="2433"/>
      <c s="2433"/>
      <c s="2433"/>
      <c s="2433"/>
      <c s="2433"/>
      <c s="2433"/>
      <c s="2433"/>
      <c s="2433"/>
      <c s="2433"/>
      <c s="2433"/>
      <c s="2433"/>
      <c s="2433"/>
      <c s="2433"/>
      <c s="2433"/>
      <c s="2433"/>
      <c s="2433"/>
      <c s="2433"/>
      <c s="2433"/>
      <c s="2433"/>
      <c s="2433"/>
      <c s="2433"/>
      <c s="2433"/>
      <c s="2433"/>
      <c s="2433"/>
      <c s="2433"/>
      <c s="2433"/>
      <c s="2433"/>
      <c s="2433"/>
      <c s="2433"/>
      <c s="2433"/>
      <c s="2433"/>
      <c s="2433"/>
      <c s="2433"/>
      <c s="2433"/>
      <c s="2433"/>
      <c s="2433"/>
      <c s="2433"/>
      <c s="2433"/>
      <c s="2433"/>
      <c s="2433"/>
      <c s="2433"/>
      <c s="2433"/>
      <c s="2433"/>
      <c s="2433"/>
      <c s="2433"/>
      <c s="2433"/>
      <c s="2433"/>
      <c s="2433"/>
      <c s="2433"/>
      <c s="2433"/>
      <c s="2433"/>
      <c s="2433"/>
      <c s="2433"/>
      <c s="2433"/>
      <c s="2433"/>
      <c s="2433"/>
      <c s="2433"/>
      <c s="2433"/>
      <c s="2433"/>
      <c s="2433"/>
      <c s="2433"/>
      <c s="2433"/>
      <c s="2433"/>
      <c s="2433"/>
      <c s="2433"/>
      <c s="2433"/>
      <c s="2433"/>
      <c s="2433"/>
      <c s="2433"/>
      <c s="2433"/>
      <c s="2433"/>
      <c s="2433"/>
      <c s="2433"/>
      <c s="2433"/>
      <c s="2433"/>
      <c s="2433"/>
      <c s="2433"/>
      <c s="2433"/>
      <c s="2433"/>
      <c s="2433"/>
      <c s="2433"/>
      <c s="2433"/>
      <c s="2433"/>
      <c s="2433"/>
      <c s="2433"/>
      <c s="2433"/>
      <c s="2433"/>
      <c s="2433"/>
      <c s="2433"/>
      <c s="2433"/>
      <c s="2433"/>
      <c s="2433"/>
      <c s="2433"/>
      <c s="2433"/>
      <c s="2433"/>
      <c s="2433"/>
      <c s="2433"/>
      <c s="2433"/>
      <c s="2433"/>
      <c s="2433"/>
      <c s="2433"/>
      <c s="2433"/>
      <c s="2433"/>
      <c s="2433"/>
      <c s="2433"/>
      <c s="2433"/>
      <c s="2433"/>
      <c s="2433"/>
      <c s="2433"/>
      <c s="2433"/>
      <c s="2433"/>
      <c s="2433"/>
      <c s="2433"/>
      <c s="2433"/>
      <c s="2433"/>
      <c s="2433"/>
      <c s="2433"/>
      <c s="2433"/>
      <c s="2433"/>
      <c s="2433"/>
      <c s="2433"/>
      <c s="2433"/>
      <c s="2433"/>
      <c s="2433"/>
      <c s="2433"/>
      <c s="2433"/>
      <c s="2433"/>
      <c s="2433"/>
      <c s="2433"/>
      <c s="2433"/>
      <c s="2433"/>
      <c s="2433"/>
      <c s="2433"/>
      <c s="2433"/>
      <c s="2433"/>
      <c s="2433"/>
      <c s="2433"/>
      <c s="2433"/>
      <c s="2433"/>
      <c s="2433"/>
      <c s="2433"/>
      <c s="2433"/>
      <c s="2433"/>
      <c s="2433"/>
      <c s="2433"/>
      <c s="2433"/>
      <c s="2433"/>
      <c s="2433"/>
      <c s="2433"/>
      <c s="2433"/>
      <c s="2433"/>
      <c s="2433"/>
      <c s="2433"/>
      <c s="2434"/>
      <c s="2451"/>
      <c s="1059"/>
      <c r="GC10" s="936">
        <v>11</v>
      </c>
    </row>
    <row r="11" spans="5:185" ht="12.75" customHeight="1">
      <c r="E11" s="940"/>
      <c s="2208" t="s">
        <v>87</v>
      </c>
      <c s="2208" t="s">
        <v>1074</v>
      </c>
      <c s="2440" t="s">
        <v>1075</v>
      </c>
      <c s="2440" t="s">
        <v>1076</v>
      </c>
      <c s="2441"/>
      <c s="2441"/>
      <c s="2441"/>
      <c s="2441"/>
      <c s="2441"/>
      <c s="2212" t="s">
        <v>1077</v>
      </c>
      <c s="2212"/>
      <c s="2212"/>
      <c s="2212"/>
      <c s="2212"/>
      <c s="2212"/>
      <c s="2212"/>
      <c s="2212"/>
      <c s="2212"/>
      <c s="2212"/>
      <c s="2212"/>
      <c s="2212"/>
      <c s="2212"/>
      <c s="2212"/>
      <c s="2437"/>
      <c s="2437"/>
      <c s="2437"/>
      <c s="2437"/>
      <c s="2437"/>
      <c s="2437"/>
      <c s="2437"/>
      <c s="2437"/>
      <c s="2437"/>
      <c s="2437"/>
      <c s="2437"/>
      <c s="2437"/>
      <c s="2437"/>
      <c s="2437"/>
      <c s="2437"/>
      <c s="2437"/>
      <c s="2437"/>
      <c s="2437"/>
      <c s="2437"/>
      <c s="2437"/>
      <c s="2437"/>
      <c s="2437"/>
      <c s="2437"/>
      <c s="2437"/>
      <c s="2437"/>
      <c s="2437"/>
      <c s="2437"/>
      <c s="2437"/>
      <c s="2437"/>
      <c s="2437"/>
      <c s="2437"/>
      <c s="2437"/>
      <c s="2437"/>
      <c s="2437"/>
      <c s="2437"/>
      <c s="2437"/>
      <c s="2437"/>
      <c s="2437"/>
      <c s="2437"/>
      <c s="2437"/>
      <c s="2437"/>
      <c s="2437"/>
      <c s="2456"/>
      <c s="2389" t="s">
        <v>1077</v>
      </c>
      <c s="2390"/>
      <c s="2390"/>
      <c s="2390"/>
      <c s="2390"/>
      <c s="2390"/>
      <c s="2390"/>
      <c s="2390"/>
      <c s="2390"/>
      <c s="2390"/>
      <c s="2390"/>
      <c s="2390"/>
      <c s="2390"/>
      <c s="2390"/>
      <c s="2390"/>
      <c s="2390"/>
      <c s="2390"/>
      <c s="2436"/>
      <c s="2439"/>
      <c s="2437"/>
      <c s="2437"/>
      <c s="2437"/>
      <c s="2437"/>
      <c s="2437"/>
      <c s="2437"/>
      <c s="2437"/>
      <c s="2437"/>
      <c s="2437"/>
      <c s="2437"/>
      <c s="2437"/>
      <c s="2456"/>
      <c s="2389" t="s">
        <v>1077</v>
      </c>
      <c s="2390"/>
      <c s="2390"/>
      <c s="2390"/>
      <c s="2390"/>
      <c s="2390"/>
      <c s="2390"/>
      <c s="2390"/>
      <c s="2390"/>
      <c s="2390"/>
      <c s="2390"/>
      <c s="2436"/>
      <c s="2439"/>
      <c s="2437"/>
      <c s="2437"/>
      <c s="2437"/>
      <c s="2437"/>
      <c s="2437"/>
      <c s="2437"/>
      <c s="2437"/>
      <c s="2437"/>
      <c s="2437"/>
      <c s="2437"/>
      <c s="2437"/>
      <c s="2437"/>
      <c s="2437"/>
      <c s="2437"/>
      <c s="2437"/>
      <c s="2437"/>
      <c s="2437"/>
      <c s="2437"/>
      <c s="2437"/>
      <c s="2437"/>
      <c s="2437"/>
      <c s="2437"/>
      <c s="2437"/>
      <c s="2437"/>
      <c s="2437"/>
      <c s="2437"/>
      <c s="2437"/>
      <c s="2437"/>
      <c s="2437"/>
      <c s="2437"/>
      <c s="2437"/>
      <c s="2437"/>
      <c s="2437"/>
      <c s="2437"/>
      <c s="2437"/>
      <c s="2437"/>
      <c s="2437"/>
      <c s="2437"/>
      <c s="2437"/>
      <c s="2437"/>
      <c s="2437"/>
      <c s="2437"/>
      <c s="2437"/>
      <c s="2437"/>
      <c s="2437"/>
      <c s="2437"/>
      <c s="2437"/>
      <c s="2437"/>
      <c s="2437"/>
      <c s="2437"/>
      <c s="2437"/>
      <c s="2437"/>
      <c s="2437"/>
      <c s="2437"/>
      <c s="2437"/>
      <c s="2437"/>
      <c s="2437"/>
      <c s="2437"/>
      <c s="2437"/>
      <c s="2437"/>
      <c s="2437"/>
      <c s="2437"/>
      <c s="2437"/>
      <c s="2451"/>
      <c s="765"/>
      <c r="GC11" s="929">
        <v>12</v>
      </c>
    </row>
    <row r="12" spans="4:185" ht="12.75" customHeight="1">
      <c r="D12" s="941"/>
      <c s="940"/>
      <c s="2208"/>
      <c s="2208"/>
      <c s="2440"/>
      <c s="2440"/>
      <c s="2441"/>
      <c s="2441"/>
      <c s="2441"/>
      <c s="2441"/>
      <c s="2441"/>
      <c s="2212" t="s">
        <v>1078</v>
      </c>
      <c s="2212"/>
      <c s="2212"/>
      <c s="2212"/>
      <c s="2212" t="s">
        <v>1079</v>
      </c>
      <c s="2212"/>
      <c s="2212"/>
      <c s="2212"/>
      <c s="2212"/>
      <c s="2212"/>
      <c s="2212"/>
      <c s="2212"/>
      <c s="2212"/>
      <c s="2212"/>
      <c s="2437"/>
      <c s="2437"/>
      <c s="2437"/>
      <c s="2437"/>
      <c s="2437"/>
      <c s="2437"/>
      <c s="2437"/>
      <c s="2437"/>
      <c s="2437"/>
      <c s="2437"/>
      <c s="2437"/>
      <c s="2437"/>
      <c s="2437"/>
      <c s="2437"/>
      <c s="2437"/>
      <c s="2437"/>
      <c s="2437"/>
      <c s="2437"/>
      <c s="2437"/>
      <c s="2437"/>
      <c s="2437"/>
      <c s="2437"/>
      <c s="2437"/>
      <c s="2437"/>
      <c s="2437"/>
      <c s="2437"/>
      <c s="2437"/>
      <c s="2437"/>
      <c s="2437"/>
      <c s="2437"/>
      <c s="2437"/>
      <c s="2437"/>
      <c s="2437"/>
      <c s="2437"/>
      <c s="2437"/>
      <c s="2437"/>
      <c s="2437"/>
      <c s="2437"/>
      <c s="2437"/>
      <c s="2437"/>
      <c s="2437"/>
      <c s="2437"/>
      <c s="2456"/>
      <c s="2389" t="s">
        <v>1080</v>
      </c>
      <c s="2390"/>
      <c s="2390"/>
      <c s="2436"/>
      <c s="2389" t="s">
        <v>1081</v>
      </c>
      <c s="2390"/>
      <c s="2390"/>
      <c s="2436"/>
      <c s="2389" t="s">
        <v>1082</v>
      </c>
      <c s="2436"/>
      <c s="2389" t="s">
        <v>1083</v>
      </c>
      <c s="2390"/>
      <c s="2390"/>
      <c s="2390"/>
      <c s="2390"/>
      <c s="2390"/>
      <c s="2390"/>
      <c s="2436"/>
      <c s="2439"/>
      <c s="2437"/>
      <c s="2437"/>
      <c s="2437"/>
      <c s="2437"/>
      <c s="2437"/>
      <c s="2437"/>
      <c s="2437"/>
      <c s="2437"/>
      <c s="2437"/>
      <c s="2437"/>
      <c s="2437"/>
      <c s="2456"/>
      <c s="2389" t="s">
        <v>1084</v>
      </c>
      <c s="2390"/>
      <c s="2390"/>
      <c s="2390"/>
      <c s="2390"/>
      <c s="2436"/>
      <c s="2389" t="s">
        <v>1085</v>
      </c>
      <c s="2436"/>
      <c s="2389" t="s">
        <v>1083</v>
      </c>
      <c s="2390"/>
      <c s="2390"/>
      <c s="2436"/>
      <c s="2439"/>
      <c s="2437"/>
      <c s="2437"/>
      <c s="2437"/>
      <c s="2437"/>
      <c s="2437"/>
      <c s="2437"/>
      <c s="2437"/>
      <c s="2437"/>
      <c s="2437"/>
      <c s="2437"/>
      <c s="2437"/>
      <c s="2437"/>
      <c s="2437"/>
      <c s="2437"/>
      <c s="2437"/>
      <c s="2437"/>
      <c s="2437"/>
      <c s="2437"/>
      <c s="2437"/>
      <c s="2437"/>
      <c s="2437"/>
      <c s="2437"/>
      <c s="2437"/>
      <c s="2437"/>
      <c s="2437"/>
      <c s="2437"/>
      <c s="2437"/>
      <c s="2437"/>
      <c s="2437"/>
      <c s="2437"/>
      <c s="2437"/>
      <c s="2437"/>
      <c s="2437"/>
      <c s="2437"/>
      <c s="2437"/>
      <c s="2437"/>
      <c s="2437"/>
      <c s="2437"/>
      <c s="2437"/>
      <c s="2437"/>
      <c s="2437"/>
      <c s="2437"/>
      <c s="2437"/>
      <c s="2437"/>
      <c s="2437"/>
      <c s="2437"/>
      <c s="2437"/>
      <c s="2437"/>
      <c s="2437"/>
      <c s="2437"/>
      <c s="2437"/>
      <c s="2437"/>
      <c s="2437"/>
      <c s="2437"/>
      <c s="2437"/>
      <c s="2437"/>
      <c s="2437"/>
      <c s="2437"/>
      <c s="2437"/>
      <c s="2437"/>
      <c s="2437"/>
      <c s="2437"/>
      <c s="2437"/>
      <c s="2451"/>
      <c s="765"/>
      <c r="GC12" s="929">
        <v>12</v>
      </c>
    </row>
    <row r="13" spans="4:185" ht="37.8" customHeight="1">
      <c r="D13" s="941"/>
      <c s="940"/>
      <c s="2208"/>
      <c s="2208"/>
      <c s="2440"/>
      <c s="2440"/>
      <c s="2441"/>
      <c s="2441"/>
      <c s="2441"/>
      <c s="2441"/>
      <c s="2441"/>
      <c s="2212" t="s">
        <v>1086</v>
      </c>
      <c s="2212"/>
      <c s="2212"/>
      <c s="2212"/>
      <c s="2339" t="s">
        <v>1087</v>
      </c>
      <c s="2391"/>
      <c s="2130" t="s">
        <v>1088</v>
      </c>
      <c s="2130"/>
      <c s="2130"/>
      <c s="2130"/>
      <c s="2130" t="s">
        <v>1089</v>
      </c>
      <c s="2130"/>
      <c s="2130"/>
      <c s="2130"/>
      <c s="2437"/>
      <c s="2437"/>
      <c s="2437"/>
      <c s="2437"/>
      <c s="2437"/>
      <c s="2437"/>
      <c s="2437"/>
      <c s="2437"/>
      <c s="2437"/>
      <c s="2437"/>
      <c s="2437"/>
      <c s="2437"/>
      <c s="2437"/>
      <c s="2437"/>
      <c s="2437"/>
      <c s="2437"/>
      <c s="2437"/>
      <c s="2437"/>
      <c s="2437"/>
      <c s="2437"/>
      <c s="2437"/>
      <c s="2437"/>
      <c s="2437"/>
      <c s="2437"/>
      <c s="2437"/>
      <c s="2437"/>
      <c s="2437"/>
      <c s="2437"/>
      <c s="2437"/>
      <c s="2437"/>
      <c s="2437"/>
      <c s="2437"/>
      <c s="2437"/>
      <c s="2437"/>
      <c s="2437"/>
      <c s="2437"/>
      <c s="2437"/>
      <c s="2437"/>
      <c s="2437"/>
      <c s="2437"/>
      <c s="2437"/>
      <c s="2437"/>
      <c s="2456"/>
      <c s="2339" t="s">
        <v>1090</v>
      </c>
      <c s="2391"/>
      <c s="2339" t="s">
        <v>1091</v>
      </c>
      <c s="2391"/>
      <c s="2339" t="s">
        <v>1092</v>
      </c>
      <c s="2391"/>
      <c s="2339" t="s">
        <v>1093</v>
      </c>
      <c s="2391"/>
      <c s="2339" t="s">
        <v>1094</v>
      </c>
      <c s="2391"/>
      <c s="2339" t="s">
        <v>1095</v>
      </c>
      <c s="2391"/>
      <c s="2339" t="s">
        <v>1096</v>
      </c>
      <c s="2391"/>
      <c s="2389" t="s">
        <v>1097</v>
      </c>
      <c s="2390"/>
      <c s="2390"/>
      <c s="2436"/>
      <c s="2439"/>
      <c s="2437"/>
      <c s="2437"/>
      <c s="2437"/>
      <c s="2437"/>
      <c s="2437"/>
      <c s="2437"/>
      <c s="2437"/>
      <c s="2437"/>
      <c s="2437"/>
      <c s="2437"/>
      <c s="2437"/>
      <c s="2456"/>
      <c s="2339" t="s">
        <v>1098</v>
      </c>
      <c s="2391"/>
      <c s="2339" t="s">
        <v>1099</v>
      </c>
      <c s="2391"/>
      <c s="2339" t="s">
        <v>1100</v>
      </c>
      <c s="2391"/>
      <c s="2339" t="s">
        <v>1101</v>
      </c>
      <c s="2391"/>
      <c s="2389" t="s">
        <v>1102</v>
      </c>
      <c s="2390"/>
      <c s="2390"/>
      <c s="2436"/>
      <c s="2439"/>
      <c s="2437"/>
      <c s="2437"/>
      <c s="2437"/>
      <c s="2437"/>
      <c s="2437"/>
      <c s="2437"/>
      <c s="2437"/>
      <c s="2437"/>
      <c s="2437"/>
      <c s="2437"/>
      <c s="2437"/>
      <c s="2437"/>
      <c s="2437"/>
      <c s="2437"/>
      <c s="2437"/>
      <c s="2437"/>
      <c s="2437"/>
      <c s="2437"/>
      <c s="2437"/>
      <c s="2437"/>
      <c s="2437"/>
      <c s="2437"/>
      <c s="2437"/>
      <c s="2437"/>
      <c s="2437"/>
      <c s="2437"/>
      <c s="2437"/>
      <c s="2437"/>
      <c s="2437"/>
      <c s="2437"/>
      <c s="2437"/>
      <c s="2437"/>
      <c s="2437"/>
      <c s="2437"/>
      <c s="2437"/>
      <c s="2437"/>
      <c s="2437"/>
      <c s="2437"/>
      <c s="2437"/>
      <c s="2437"/>
      <c s="2437"/>
      <c s="2437"/>
      <c s="2437"/>
      <c s="2437"/>
      <c s="2437"/>
      <c s="2437"/>
      <c s="2437"/>
      <c s="2437"/>
      <c s="2437"/>
      <c s="2437"/>
      <c s="2437"/>
      <c s="2437"/>
      <c s="2437"/>
      <c s="2437"/>
      <c s="2437"/>
      <c s="2437"/>
      <c s="2437"/>
      <c s="2437"/>
      <c s="2437"/>
      <c s="2437"/>
      <c s="2437"/>
      <c s="2437"/>
      <c s="2437"/>
      <c s="2451"/>
      <c s="765"/>
      <c r="GC13" s="929">
        <v>36</v>
      </c>
    </row>
    <row r="14" spans="4:185" ht="37.8" customHeight="1">
      <c r="D14" s="941"/>
      <c s="940"/>
      <c s="2208"/>
      <c s="2208"/>
      <c s="2440"/>
      <c s="2440"/>
      <c s="2441"/>
      <c s="2441"/>
      <c s="2441"/>
      <c s="2441"/>
      <c s="2441"/>
      <c s="2339" t="s">
        <v>1103</v>
      </c>
      <c s="2391"/>
      <c s="2339" t="s">
        <v>1104</v>
      </c>
      <c s="2391"/>
      <c s="2340"/>
      <c s="2216"/>
      <c s="2339" t="s">
        <v>836</v>
      </c>
      <c s="2391"/>
      <c s="2339" t="s">
        <v>839</v>
      </c>
      <c s="2391"/>
      <c s="2339" t="s">
        <v>836</v>
      </c>
      <c s="2391"/>
      <c s="2339" t="s">
        <v>846</v>
      </c>
      <c s="2391"/>
      <c s="2437"/>
      <c s="2437"/>
      <c s="2437"/>
      <c s="2437"/>
      <c s="2437"/>
      <c s="2437"/>
      <c s="2437"/>
      <c s="2437"/>
      <c s="2437"/>
      <c s="2437"/>
      <c s="2437"/>
      <c s="2437"/>
      <c s="2437"/>
      <c s="2437"/>
      <c s="2437"/>
      <c s="2437"/>
      <c s="2437"/>
      <c s="2437"/>
      <c s="2437"/>
      <c s="2437"/>
      <c s="2437"/>
      <c s="2437"/>
      <c s="2437"/>
      <c s="2437"/>
      <c s="2437"/>
      <c s="2437"/>
      <c s="2437"/>
      <c s="2437"/>
      <c s="2437"/>
      <c s="2437"/>
      <c s="2437"/>
      <c s="2437"/>
      <c s="2437"/>
      <c s="2437"/>
      <c s="2437"/>
      <c s="2437"/>
      <c s="2437"/>
      <c s="2437"/>
      <c s="2437"/>
      <c s="2437"/>
      <c s="2437"/>
      <c s="2437"/>
      <c s="2456"/>
      <c s="2340"/>
      <c s="2216"/>
      <c s="2340"/>
      <c s="2216"/>
      <c s="2340"/>
      <c s="2216"/>
      <c s="2340"/>
      <c s="2216"/>
      <c s="2340"/>
      <c s="2216"/>
      <c s="2340"/>
      <c s="2216"/>
      <c s="2340"/>
      <c s="2216"/>
      <c s="2339" t="s">
        <v>1105</v>
      </c>
      <c s="2391"/>
      <c s="2339" t="s">
        <v>1106</v>
      </c>
      <c s="2391"/>
      <c s="2439"/>
      <c s="2437"/>
      <c s="2437"/>
      <c s="2437"/>
      <c s="2437"/>
      <c s="2437"/>
      <c s="2437"/>
      <c s="2437"/>
      <c s="2437"/>
      <c s="2437"/>
      <c s="2437"/>
      <c s="2437"/>
      <c s="2456"/>
      <c s="2340"/>
      <c s="2216"/>
      <c s="2340"/>
      <c s="2216"/>
      <c s="2340"/>
      <c s="2216"/>
      <c s="2340"/>
      <c s="2216"/>
      <c s="2339" t="s">
        <v>1107</v>
      </c>
      <c s="2391"/>
      <c s="2339" t="s">
        <v>1108</v>
      </c>
      <c s="2391"/>
      <c s="2439"/>
      <c s="2437"/>
      <c s="2437"/>
      <c s="2437"/>
      <c s="2437"/>
      <c s="2437"/>
      <c s="2437"/>
      <c s="2437"/>
      <c s="2437"/>
      <c s="2437"/>
      <c s="2437"/>
      <c s="2437"/>
      <c s="2437"/>
      <c s="2437"/>
      <c s="2437"/>
      <c s="2437"/>
      <c s="2437"/>
      <c s="2437"/>
      <c s="2437"/>
      <c s="2437"/>
      <c s="2437"/>
      <c s="2437"/>
      <c s="2437"/>
      <c s="2437"/>
      <c s="2437"/>
      <c s="2437"/>
      <c s="2437"/>
      <c s="2437"/>
      <c s="2437"/>
      <c s="2437"/>
      <c s="2437"/>
      <c s="2437"/>
      <c s="2437"/>
      <c s="2437"/>
      <c s="2437"/>
      <c s="2437"/>
      <c s="2437"/>
      <c s="2437"/>
      <c s="2437"/>
      <c s="2437"/>
      <c s="2437"/>
      <c s="2437"/>
      <c s="2437"/>
      <c s="2437"/>
      <c s="2437"/>
      <c s="2437"/>
      <c s="2437"/>
      <c s="2437"/>
      <c s="2437"/>
      <c s="2437"/>
      <c s="2437"/>
      <c s="2437"/>
      <c s="2437"/>
      <c s="2437"/>
      <c s="2437"/>
      <c s="2437"/>
      <c s="2437"/>
      <c s="2437"/>
      <c s="2437"/>
      <c s="2437"/>
      <c s="2437"/>
      <c s="2437"/>
      <c s="2437"/>
      <c s="2437"/>
      <c s="2451"/>
      <c s="765"/>
      <c r="GC14" s="929">
        <v>36</v>
      </c>
    </row>
    <row r="15" spans="4:185" ht="37.8" customHeight="1">
      <c r="D15" s="941"/>
      <c s="940"/>
      <c s="2208"/>
      <c s="2208"/>
      <c s="2440"/>
      <c s="2440"/>
      <c s="2441"/>
      <c s="2441"/>
      <c s="2441"/>
      <c s="2441"/>
      <c s="2441"/>
      <c s="2341"/>
      <c s="2438"/>
      <c s="2341"/>
      <c s="2438"/>
      <c s="2341"/>
      <c s="2438"/>
      <c s="2341"/>
      <c s="2438"/>
      <c s="2341"/>
      <c s="2438"/>
      <c s="2341"/>
      <c s="2438"/>
      <c s="2341"/>
      <c s="2438"/>
      <c s="2437"/>
      <c s="2437"/>
      <c s="2437"/>
      <c s="2437"/>
      <c s="2437"/>
      <c s="2437"/>
      <c s="2437"/>
      <c s="2437"/>
      <c s="2437"/>
      <c s="2437"/>
      <c s="2437"/>
      <c s="2437"/>
      <c s="2437"/>
      <c s="2437"/>
      <c s="2437"/>
      <c s="2437"/>
      <c s="2437"/>
      <c s="2437"/>
      <c s="2437"/>
      <c s="2437"/>
      <c s="2437"/>
      <c s="2437"/>
      <c s="2437"/>
      <c s="2437"/>
      <c s="2437"/>
      <c s="2437"/>
      <c s="2437"/>
      <c s="2437"/>
      <c s="2437"/>
      <c s="2437"/>
      <c s="2437"/>
      <c s="2437"/>
      <c s="2437"/>
      <c s="2437"/>
      <c s="2437"/>
      <c s="2437"/>
      <c s="2437"/>
      <c s="2437"/>
      <c s="2437"/>
      <c s="2437"/>
      <c s="2437"/>
      <c s="2437"/>
      <c s="2456"/>
      <c s="2341"/>
      <c s="2438"/>
      <c s="2341"/>
      <c s="2438"/>
      <c s="2341"/>
      <c s="2438"/>
      <c s="2341"/>
      <c s="2438"/>
      <c s="2341"/>
      <c s="2438"/>
      <c s="2341"/>
      <c s="2438"/>
      <c s="2341"/>
      <c s="2438"/>
      <c s="2341"/>
      <c s="2438"/>
      <c s="2341"/>
      <c s="2438"/>
      <c s="2439"/>
      <c s="2437"/>
      <c s="2437"/>
      <c s="2437"/>
      <c s="2437"/>
      <c s="2437"/>
      <c s="2437"/>
      <c s="2437"/>
      <c s="2437"/>
      <c s="2437"/>
      <c s="2437"/>
      <c s="2437"/>
      <c s="2456"/>
      <c s="2341"/>
      <c s="2438"/>
      <c s="2341"/>
      <c s="2438"/>
      <c s="2341"/>
      <c s="2438"/>
      <c s="2341"/>
      <c s="2438"/>
      <c s="2341"/>
      <c s="2438"/>
      <c s="2341"/>
      <c s="2438"/>
      <c s="2439"/>
      <c s="2437"/>
      <c s="2437"/>
      <c s="2437"/>
      <c s="2437"/>
      <c s="2437"/>
      <c s="2437"/>
      <c s="2437"/>
      <c s="2437"/>
      <c s="2437"/>
      <c s="2437"/>
      <c s="2437"/>
      <c s="2437"/>
      <c s="2437"/>
      <c s="2437"/>
      <c s="2437"/>
      <c s="2437"/>
      <c s="2437"/>
      <c s="2437"/>
      <c s="2437"/>
      <c s="2437"/>
      <c s="2437"/>
      <c s="2437"/>
      <c s="2437"/>
      <c s="2437"/>
      <c s="2437"/>
      <c s="2437"/>
      <c s="2437"/>
      <c s="2437"/>
      <c s="2437"/>
      <c s="2437"/>
      <c s="2437"/>
      <c s="2437"/>
      <c s="2437"/>
      <c s="2437"/>
      <c s="2437"/>
      <c s="2437"/>
      <c s="2437"/>
      <c s="2437"/>
      <c s="2437"/>
      <c s="2437"/>
      <c s="2437"/>
      <c s="2437"/>
      <c s="2437"/>
      <c s="2437"/>
      <c s="2437"/>
      <c s="2437"/>
      <c s="2437"/>
      <c s="2437"/>
      <c s="2437"/>
      <c s="2437"/>
      <c s="2437"/>
      <c s="2437"/>
      <c s="2437"/>
      <c s="2437"/>
      <c s="2437"/>
      <c s="2437"/>
      <c s="2437"/>
      <c s="2437"/>
      <c s="2437"/>
      <c s="2437"/>
      <c s="2437"/>
      <c s="2437"/>
      <c s="2437"/>
      <c s="2451"/>
      <c s="765"/>
      <c r="GC15" s="929">
        <v>36</v>
      </c>
    </row>
    <row r="16" spans="4:185" ht="12.75" customHeight="1">
      <c r="D16" s="941"/>
      <c s="940"/>
      <c s="2208"/>
      <c s="2208"/>
      <c s="2440"/>
      <c s="2440"/>
      <c s="2441"/>
      <c s="2441"/>
      <c s="2441"/>
      <c s="2441"/>
      <c s="2441"/>
      <c s="2389" t="s">
        <v>826</v>
      </c>
      <c s="2436"/>
      <c s="2389" t="s">
        <v>828</v>
      </c>
      <c s="2436"/>
      <c s="2389" t="s">
        <v>832</v>
      </c>
      <c s="2436"/>
      <c s="2389" t="s">
        <v>837</v>
      </c>
      <c s="2436"/>
      <c s="2389" t="s">
        <v>840</v>
      </c>
      <c s="2436"/>
      <c s="2389" t="s">
        <v>844</v>
      </c>
      <c s="2436"/>
      <c s="2389" t="s">
        <v>847</v>
      </c>
      <c s="2436"/>
      <c s="2437"/>
      <c s="2437"/>
      <c s="2437"/>
      <c s="2437"/>
      <c s="2437"/>
      <c s="2437"/>
      <c s="2437"/>
      <c s="2437"/>
      <c s="2437"/>
      <c s="2437"/>
      <c s="2437"/>
      <c s="2437"/>
      <c s="2437"/>
      <c s="2437"/>
      <c s="2437"/>
      <c s="2437"/>
      <c s="2437"/>
      <c s="2437"/>
      <c s="2437"/>
      <c s="2437"/>
      <c s="2437"/>
      <c s="2437"/>
      <c s="2437"/>
      <c s="2437"/>
      <c s="2437"/>
      <c s="2437"/>
      <c s="2437"/>
      <c s="2437"/>
      <c s="2437"/>
      <c s="2437"/>
      <c s="2437"/>
      <c s="2437"/>
      <c s="2437"/>
      <c s="2437"/>
      <c s="2437"/>
      <c s="2437"/>
      <c s="2437"/>
      <c s="2437"/>
      <c s="2437"/>
      <c s="2437"/>
      <c s="2437"/>
      <c s="2437"/>
      <c s="2456"/>
      <c s="2389" t="s">
        <v>558</v>
      </c>
      <c s="2436"/>
      <c s="2389" t="s">
        <v>558</v>
      </c>
      <c s="2436"/>
      <c s="2389" t="s">
        <v>558</v>
      </c>
      <c s="2436"/>
      <c s="2389" t="s">
        <v>558</v>
      </c>
      <c s="2436"/>
      <c s="2389" t="s">
        <v>1109</v>
      </c>
      <c s="2436"/>
      <c s="2389" t="s">
        <v>558</v>
      </c>
      <c s="2436"/>
      <c s="2389" t="s">
        <v>1110</v>
      </c>
      <c s="2436"/>
      <c s="2389" t="s">
        <v>1111</v>
      </c>
      <c s="2436"/>
      <c s="2389" t="s">
        <v>1111</v>
      </c>
      <c s="2436"/>
      <c s="2439"/>
      <c s="2437"/>
      <c s="2437"/>
      <c s="2437"/>
      <c s="2437"/>
      <c s="2437"/>
      <c s="2437"/>
      <c s="2437"/>
      <c s="2437"/>
      <c s="2437"/>
      <c s="2437"/>
      <c s="2437"/>
      <c s="2456"/>
      <c s="2339" t="s">
        <v>558</v>
      </c>
      <c s="2391"/>
      <c s="2339" t="s">
        <v>558</v>
      </c>
      <c s="2391"/>
      <c s="2339" t="s">
        <v>558</v>
      </c>
      <c s="2391"/>
      <c s="2389" t="s">
        <v>1109</v>
      </c>
      <c s="2436"/>
      <c s="2389" t="s">
        <v>1112</v>
      </c>
      <c s="2436"/>
      <c s="2389" t="s">
        <v>1112</v>
      </c>
      <c s="2436"/>
      <c s="2439"/>
      <c s="2437"/>
      <c s="2437"/>
      <c s="2437"/>
      <c s="2437"/>
      <c s="2437"/>
      <c s="2437"/>
      <c s="2437"/>
      <c s="2437"/>
      <c s="2437"/>
      <c s="2437"/>
      <c s="2437"/>
      <c s="2437"/>
      <c s="2437"/>
      <c s="2437"/>
      <c s="2437"/>
      <c s="2437"/>
      <c s="2437"/>
      <c s="2437"/>
      <c s="2437"/>
      <c s="2437"/>
      <c s="2437"/>
      <c s="2437"/>
      <c s="2437"/>
      <c s="2437"/>
      <c s="2437"/>
      <c s="2437"/>
      <c s="2437"/>
      <c s="2437"/>
      <c s="2437"/>
      <c s="2437"/>
      <c s="2437"/>
      <c s="2437"/>
      <c s="2437"/>
      <c s="2437"/>
      <c s="2437"/>
      <c s="2437"/>
      <c s="2437"/>
      <c s="2437"/>
      <c s="2437"/>
      <c s="2437"/>
      <c s="2437"/>
      <c s="2437"/>
      <c s="2437"/>
      <c s="2437"/>
      <c s="2437"/>
      <c s="2437"/>
      <c s="2437"/>
      <c s="2437"/>
      <c s="2437"/>
      <c s="2437"/>
      <c s="2437"/>
      <c s="2437"/>
      <c s="2437"/>
      <c s="2437"/>
      <c s="2437"/>
      <c s="2437"/>
      <c s="2437"/>
      <c s="2437"/>
      <c s="2437"/>
      <c s="2437"/>
      <c s="2437"/>
      <c s="2437"/>
      <c s="2437"/>
      <c s="2451"/>
      <c s="765"/>
      <c r="GC16" s="929">
        <v>12</v>
      </c>
    </row>
    <row r="17" spans="5:185" ht="15.75" customHeight="1">
      <c r="E17" s="940"/>
      <c s="2208"/>
      <c s="2208"/>
      <c s="2440"/>
      <c s="2440"/>
      <c s="2441"/>
      <c s="2441"/>
      <c s="2441"/>
      <c s="2441"/>
      <c s="2441"/>
      <c s="1194" t="s">
        <v>1113</v>
      </c>
      <c s="1194" t="s">
        <v>1114</v>
      </c>
      <c s="1194" t="s">
        <v>1113</v>
      </c>
      <c s="1194" t="s">
        <v>1114</v>
      </c>
      <c s="1194" t="s">
        <v>1113</v>
      </c>
      <c s="1194" t="s">
        <v>1114</v>
      </c>
      <c s="1194" t="s">
        <v>1113</v>
      </c>
      <c s="1194" t="s">
        <v>1114</v>
      </c>
      <c s="1194" t="s">
        <v>1113</v>
      </c>
      <c s="1194" t="s">
        <v>1114</v>
      </c>
      <c s="1194" t="s">
        <v>1113</v>
      </c>
      <c s="1194" t="s">
        <v>1114</v>
      </c>
      <c s="1194" t="s">
        <v>1113</v>
      </c>
      <c s="1194" t="s">
        <v>1114</v>
      </c>
      <c s="2437"/>
      <c s="2437"/>
      <c s="2437"/>
      <c s="2437"/>
      <c s="2437"/>
      <c s="2437"/>
      <c s="2437"/>
      <c s="2437"/>
      <c s="2437"/>
      <c s="2437"/>
      <c s="2437"/>
      <c s="2437"/>
      <c s="2437"/>
      <c s="2437"/>
      <c s="2437"/>
      <c s="2437"/>
      <c s="2437"/>
      <c s="2437"/>
      <c s="2437"/>
      <c s="2437"/>
      <c s="2437"/>
      <c s="2437"/>
      <c s="2437"/>
      <c s="2437"/>
      <c s="2437"/>
      <c s="2437"/>
      <c s="2437"/>
      <c s="2437"/>
      <c s="2437"/>
      <c s="2437"/>
      <c s="2437"/>
      <c s="2437"/>
      <c s="2437"/>
      <c s="2437"/>
      <c s="2437"/>
      <c s="2437"/>
      <c s="2437"/>
      <c s="2437"/>
      <c s="2437"/>
      <c s="2437"/>
      <c s="2437"/>
      <c s="2437"/>
      <c s="2456"/>
      <c s="1194" t="s">
        <v>1113</v>
      </c>
      <c s="1194" t="s">
        <v>1114</v>
      </c>
      <c s="1194" t="s">
        <v>1113</v>
      </c>
      <c s="1194" t="s">
        <v>1114</v>
      </c>
      <c s="1194" t="s">
        <v>1113</v>
      </c>
      <c s="1194" t="s">
        <v>1114</v>
      </c>
      <c s="1194" t="s">
        <v>1113</v>
      </c>
      <c s="1194" t="s">
        <v>1114</v>
      </c>
      <c s="1194" t="s">
        <v>1113</v>
      </c>
      <c s="1194" t="s">
        <v>1114</v>
      </c>
      <c s="1194" t="s">
        <v>1113</v>
      </c>
      <c s="1194" t="s">
        <v>1114</v>
      </c>
      <c s="1194" t="s">
        <v>1113</v>
      </c>
      <c s="1194" t="s">
        <v>1114</v>
      </c>
      <c s="1194" t="s">
        <v>1113</v>
      </c>
      <c s="1194" t="s">
        <v>1114</v>
      </c>
      <c s="1194" t="s">
        <v>1113</v>
      </c>
      <c s="1194" t="s">
        <v>1114</v>
      </c>
      <c s="2439"/>
      <c s="2437"/>
      <c s="2437"/>
      <c s="2437"/>
      <c s="2437"/>
      <c s="2437"/>
      <c s="2437"/>
      <c s="2437"/>
      <c s="2437"/>
      <c s="2437"/>
      <c s="2437"/>
      <c s="2437"/>
      <c s="2456"/>
      <c s="1194" t="s">
        <v>1113</v>
      </c>
      <c s="1194" t="s">
        <v>1114</v>
      </c>
      <c s="1194" t="s">
        <v>1113</v>
      </c>
      <c s="1194" t="s">
        <v>1114</v>
      </c>
      <c s="1194" t="s">
        <v>1113</v>
      </c>
      <c s="1194" t="s">
        <v>1114</v>
      </c>
      <c s="1194" t="s">
        <v>1113</v>
      </c>
      <c s="1194" t="s">
        <v>1114</v>
      </c>
      <c s="1194" t="s">
        <v>1113</v>
      </c>
      <c s="1194" t="s">
        <v>1114</v>
      </c>
      <c s="1194" t="s">
        <v>1113</v>
      </c>
      <c s="1194" t="s">
        <v>1114</v>
      </c>
      <c s="2439"/>
      <c s="2437"/>
      <c s="2437"/>
      <c s="2437"/>
      <c s="2437"/>
      <c s="2437"/>
      <c s="2437"/>
      <c s="2437"/>
      <c s="2437"/>
      <c s="2437"/>
      <c s="2437"/>
      <c s="2437"/>
      <c s="2437"/>
      <c s="2437"/>
      <c s="2437"/>
      <c s="2437"/>
      <c s="2437"/>
      <c s="2437"/>
      <c s="2437"/>
      <c s="2437"/>
      <c s="2437"/>
      <c s="2437"/>
      <c s="2437"/>
      <c s="2437"/>
      <c s="2437"/>
      <c s="2437"/>
      <c s="2437"/>
      <c s="2437"/>
      <c s="2437"/>
      <c s="2437"/>
      <c s="2437"/>
      <c s="2437"/>
      <c s="2437"/>
      <c s="2437"/>
      <c s="2437"/>
      <c s="2437"/>
      <c s="2437"/>
      <c s="2437"/>
      <c s="2437"/>
      <c s="2437"/>
      <c s="2437"/>
      <c s="2437"/>
      <c s="2437"/>
      <c s="2437"/>
      <c s="2437"/>
      <c s="2437"/>
      <c s="2437"/>
      <c s="2437"/>
      <c s="2437"/>
      <c s="2437"/>
      <c s="2437"/>
      <c s="2437"/>
      <c s="2437"/>
      <c s="2437"/>
      <c s="2437"/>
      <c s="2437"/>
      <c s="2437"/>
      <c s="2437"/>
      <c s="2437"/>
      <c s="2437"/>
      <c s="2437"/>
      <c s="2437"/>
      <c s="2437"/>
      <c s="2437"/>
      <c s="2452"/>
      <c s="765"/>
      <c r="GC17" s="929">
        <v>15</v>
      </c>
    </row>
    <row r="18" spans="2:185" s="928" customFormat="1" ht="12" customHeight="1" hidden="1">
      <c r="B18" s="926"/>
      <c r="E18" s="942"/>
      <c s="1195"/>
      <c s="1195"/>
      <c s="1195"/>
      <c s="1195"/>
      <c s="1196"/>
      <c s="1196"/>
      <c s="1196"/>
      <c s="1196"/>
      <c s="1196"/>
      <c s="1195"/>
      <c s="1195"/>
      <c s="1195"/>
      <c s="1195"/>
      <c s="1195"/>
      <c s="1195"/>
      <c s="1197"/>
      <c s="1197"/>
      <c s="1197"/>
      <c s="1197"/>
      <c s="1197"/>
      <c s="1197"/>
      <c s="1197"/>
      <c s="1195"/>
      <c s="1196"/>
      <c s="1196"/>
      <c s="1196"/>
      <c s="1196"/>
      <c s="1196"/>
      <c s="1196"/>
      <c s="1196"/>
      <c s="1196"/>
      <c s="1196"/>
      <c s="1196"/>
      <c s="1196"/>
      <c s="1196"/>
      <c s="1196"/>
      <c s="1196"/>
      <c s="1196"/>
      <c s="1196"/>
      <c s="1196"/>
      <c s="1196"/>
      <c s="1196"/>
      <c s="1196"/>
      <c s="1196"/>
      <c s="1196"/>
      <c s="1196"/>
      <c s="1196"/>
      <c s="1196"/>
      <c s="1196"/>
      <c s="1196"/>
      <c s="1196"/>
      <c s="1196"/>
      <c s="1196"/>
      <c s="1196"/>
      <c s="1196"/>
      <c s="1196"/>
      <c s="1196"/>
      <c s="1196"/>
      <c s="1196"/>
      <c s="1196"/>
      <c s="1196"/>
      <c s="1196"/>
      <c s="1196"/>
      <c s="1196"/>
      <c s="1196"/>
      <c s="1196"/>
      <c s="1198"/>
      <c s="1198"/>
      <c s="1198"/>
      <c s="1198"/>
      <c s="1198"/>
      <c s="1198"/>
      <c s="1198"/>
      <c s="1198"/>
      <c s="1198"/>
      <c s="1198"/>
      <c s="1198"/>
      <c s="1198"/>
      <c s="1198"/>
      <c s="1198"/>
      <c s="1198"/>
      <c s="1198"/>
      <c s="1198"/>
      <c s="1198"/>
      <c s="1196"/>
      <c s="1196"/>
      <c s="1196"/>
      <c s="1196"/>
      <c s="1196"/>
      <c s="1196"/>
      <c s="1196"/>
      <c s="1196"/>
      <c s="1196"/>
      <c s="1196"/>
      <c s="1196"/>
      <c s="1196"/>
      <c s="1196"/>
      <c s="1198"/>
      <c s="1198"/>
      <c s="1198"/>
      <c s="1198"/>
      <c s="1198"/>
      <c s="1198"/>
      <c s="1198"/>
      <c s="1198"/>
      <c s="1198"/>
      <c s="1198"/>
      <c s="1198"/>
      <c s="1198"/>
      <c s="1196"/>
      <c s="1196"/>
      <c s="1196"/>
      <c s="1196"/>
      <c s="1196"/>
      <c s="1196"/>
      <c s="1196"/>
      <c s="1196"/>
      <c s="1196"/>
      <c s="1196"/>
      <c s="1196"/>
      <c s="1196"/>
      <c s="1196"/>
      <c s="1196"/>
      <c s="1196"/>
      <c s="1196"/>
      <c s="1196"/>
      <c s="1196"/>
      <c s="1196"/>
      <c s="1196"/>
      <c s="1196"/>
      <c s="1196"/>
      <c s="1196"/>
      <c s="1196"/>
      <c s="1196"/>
      <c s="1196"/>
      <c s="1196"/>
      <c s="1196"/>
      <c s="1196"/>
      <c s="1196"/>
      <c s="1196"/>
      <c s="1196"/>
      <c s="1196"/>
      <c s="1196"/>
      <c s="1196"/>
      <c s="1196"/>
      <c s="1196"/>
      <c s="1196"/>
      <c s="1196"/>
      <c s="1196"/>
      <c s="1196"/>
      <c s="1196"/>
      <c s="1196"/>
      <c s="1196"/>
      <c s="1196"/>
      <c s="1196"/>
      <c s="1196"/>
      <c s="1196"/>
      <c s="1196"/>
      <c s="1196"/>
      <c s="1196"/>
      <c s="1196"/>
      <c s="1196"/>
      <c s="1196"/>
      <c s="1196"/>
      <c s="1196"/>
      <c s="1196"/>
      <c s="1196"/>
      <c s="1196"/>
      <c s="1196"/>
      <c s="1196"/>
      <c s="1196"/>
      <c s="1196"/>
      <c s="1196"/>
      <c s="1195"/>
      <c s="1199"/>
      <c r="GC18" s="927">
        <v>0</v>
      </c>
    </row>
    <row r="19" spans="2:185" s="928" customFormat="1" ht="11.25" customHeight="1" hidden="1">
      <c r="B19" s="926"/>
      <c r="E19" s="942"/>
      <c s="1195"/>
      <c s="1195"/>
      <c s="1195"/>
      <c s="1195"/>
      <c s="1195"/>
      <c s="1195"/>
      <c s="1195"/>
      <c s="1195"/>
      <c s="1195"/>
      <c s="1195"/>
      <c s="1195"/>
      <c s="1195"/>
      <c s="1195"/>
      <c s="1195"/>
      <c s="1195"/>
      <c s="1197"/>
      <c s="1197"/>
      <c s="1197"/>
      <c s="1197"/>
      <c s="1197"/>
      <c s="1197"/>
      <c s="1197"/>
      <c s="1195"/>
      <c s="1195"/>
      <c s="1195"/>
      <c s="1195"/>
      <c s="1195"/>
      <c s="1195"/>
      <c s="1195"/>
      <c s="1195"/>
      <c s="1195"/>
      <c s="1195"/>
      <c s="1195"/>
      <c s="1195"/>
      <c s="1195"/>
      <c s="1195"/>
      <c s="1195"/>
      <c s="1195"/>
      <c s="1195"/>
      <c s="1195"/>
      <c s="1195"/>
      <c s="1195"/>
      <c s="1195"/>
      <c s="1195"/>
      <c s="1195"/>
      <c s="1195"/>
      <c s="1195"/>
      <c s="1195"/>
      <c s="1195"/>
      <c s="1195"/>
      <c s="1195"/>
      <c s="1195"/>
      <c s="1195"/>
      <c s="1195"/>
      <c s="1195"/>
      <c s="1195"/>
      <c s="1195"/>
      <c s="1195"/>
      <c s="1195"/>
      <c s="1195"/>
      <c s="1195"/>
      <c s="1195"/>
      <c s="1195"/>
      <c s="1195"/>
      <c s="1195"/>
      <c s="1195"/>
      <c s="1195"/>
      <c s="1195"/>
      <c s="1195"/>
      <c s="1195"/>
      <c s="1195"/>
      <c s="1195"/>
      <c s="1195"/>
      <c s="1195"/>
      <c s="1195"/>
      <c s="1195"/>
      <c s="1195"/>
      <c s="1195"/>
      <c s="1195"/>
      <c s="1195"/>
      <c s="1195"/>
      <c s="1195"/>
      <c s="1195"/>
      <c s="1195"/>
      <c s="1195"/>
      <c s="1195"/>
      <c s="1195"/>
      <c s="1195"/>
      <c s="1195"/>
      <c s="1195"/>
      <c s="1195"/>
      <c s="1195"/>
      <c s="1195"/>
      <c s="1195"/>
      <c s="1195"/>
      <c s="1195"/>
      <c s="1195"/>
      <c s="1195"/>
      <c s="1195"/>
      <c s="1195"/>
      <c s="1195"/>
      <c s="1195"/>
      <c s="1195"/>
      <c s="1195"/>
      <c s="1195"/>
      <c s="1195"/>
      <c s="1195"/>
      <c s="1195"/>
      <c s="1195"/>
      <c s="1195"/>
      <c s="1195"/>
      <c s="1195"/>
      <c s="1195"/>
      <c s="1195"/>
      <c s="1195"/>
      <c s="1195"/>
      <c s="1195"/>
      <c s="1195"/>
      <c s="1195"/>
      <c s="1195"/>
      <c s="1195"/>
      <c s="1195"/>
      <c s="1195"/>
      <c s="1195"/>
      <c s="1195"/>
      <c s="1195"/>
      <c s="1195"/>
      <c s="1195"/>
      <c s="1195"/>
      <c s="1195"/>
      <c s="1195"/>
      <c s="1195"/>
      <c s="1195"/>
      <c s="1195"/>
      <c s="1195"/>
      <c s="1195"/>
      <c s="1195"/>
      <c s="1195"/>
      <c s="1195"/>
      <c s="1195"/>
      <c s="1195"/>
      <c s="1195"/>
      <c s="1195"/>
      <c s="1195"/>
      <c s="1195"/>
      <c s="1195"/>
      <c s="1195"/>
      <c s="1195"/>
      <c s="1195"/>
      <c s="1195"/>
      <c s="1195"/>
      <c s="1195"/>
      <c s="1195"/>
      <c s="1195"/>
      <c s="1195"/>
      <c s="1195"/>
      <c s="1195"/>
      <c s="1195"/>
      <c s="1195"/>
      <c s="1195"/>
      <c s="1195"/>
      <c s="1195"/>
      <c s="1195"/>
      <c s="1195"/>
      <c s="1195"/>
      <c s="1195"/>
      <c s="1195"/>
      <c s="1195"/>
      <c s="1195"/>
      <c s="1195"/>
      <c s="1195"/>
      <c s="1195"/>
      <c s="1195"/>
      <c s="1195"/>
      <c s="1199"/>
      <c r="GC19" s="927">
        <v>0</v>
      </c>
    </row>
    <row r="20" spans="2:185" s="928" customFormat="1" ht="11.25" customHeight="1" hidden="1">
      <c r="B20" s="943"/>
      <c r="D20" s="927"/>
      <c s="942"/>
      <c s="1200" t="s">
        <v>376</v>
      </c>
      <c s="1201"/>
      <c s="1202"/>
      <c s="1202"/>
      <c s="1202"/>
      <c s="1202"/>
      <c s="1202"/>
      <c s="1202"/>
      <c s="1202"/>
      <c s="1201"/>
      <c s="1201"/>
      <c s="1201"/>
      <c s="1201"/>
      <c s="1201"/>
      <c s="1201"/>
      <c s="1203"/>
      <c s="1203"/>
      <c s="1203"/>
      <c s="1203"/>
      <c s="1203"/>
      <c s="1203"/>
      <c s="1203"/>
      <c s="1201"/>
      <c s="1202"/>
      <c s="1202"/>
      <c s="1202"/>
      <c s="1202"/>
      <c s="1202"/>
      <c s="1202"/>
      <c s="1202"/>
      <c s="1202"/>
      <c s="1202"/>
      <c s="1202"/>
      <c s="1202"/>
      <c s="1202"/>
      <c s="1202"/>
      <c s="1202"/>
      <c s="1202"/>
      <c s="1202"/>
      <c s="1202"/>
      <c s="1202"/>
      <c s="1202"/>
      <c s="1202"/>
      <c s="1202"/>
      <c s="1202"/>
      <c s="1202"/>
      <c s="1202"/>
      <c s="1202"/>
      <c s="1202"/>
      <c s="1202"/>
      <c s="1202"/>
      <c s="1202"/>
      <c s="1202"/>
      <c s="1202"/>
      <c s="1202"/>
      <c s="1202"/>
      <c s="1202"/>
      <c s="1202"/>
      <c s="1202"/>
      <c s="1202"/>
      <c s="1202"/>
      <c s="1202"/>
      <c s="1202"/>
      <c s="1202"/>
      <c s="1202"/>
      <c s="1202"/>
      <c s="1202"/>
      <c s="1202"/>
      <c s="1202"/>
      <c s="1202"/>
      <c s="1202"/>
      <c s="1202"/>
      <c s="1202"/>
      <c s="1202"/>
      <c s="1202"/>
      <c s="1202"/>
      <c s="1202"/>
      <c s="1202"/>
      <c s="1202"/>
      <c s="1202"/>
      <c s="1202"/>
      <c s="1202"/>
      <c s="1202"/>
      <c s="1202"/>
      <c s="1204"/>
      <c s="1204"/>
      <c s="1204"/>
      <c s="1204"/>
      <c s="1204"/>
      <c s="1204"/>
      <c s="1204"/>
      <c s="1204"/>
      <c s="1204"/>
      <c s="1204"/>
      <c s="1204"/>
      <c s="1204"/>
      <c s="1204"/>
      <c s="1204"/>
      <c s="1204"/>
      <c s="1204"/>
      <c s="1204"/>
      <c s="1204"/>
      <c s="1204"/>
      <c s="1204"/>
      <c s="1204"/>
      <c s="1204"/>
      <c s="1204"/>
      <c s="1204"/>
      <c s="1204"/>
      <c s="1204"/>
      <c s="1204"/>
      <c s="1204"/>
      <c s="1204"/>
      <c s="1204"/>
      <c s="1204"/>
      <c s="1204"/>
      <c s="1204"/>
      <c s="1204"/>
      <c s="1204"/>
      <c s="1204"/>
      <c s="1204"/>
      <c s="1204"/>
      <c s="1204"/>
      <c s="1204"/>
      <c s="1204"/>
      <c s="1204"/>
      <c s="1204"/>
      <c s="1204"/>
      <c s="1204"/>
      <c s="1204"/>
      <c s="1204"/>
      <c s="1204"/>
      <c s="1204"/>
      <c s="1204"/>
      <c s="1204"/>
      <c s="1204"/>
      <c s="1204"/>
      <c s="1204"/>
      <c s="1204"/>
      <c s="1204"/>
      <c s="1204"/>
      <c s="1204"/>
      <c s="1204"/>
      <c s="1204"/>
      <c s="1204"/>
      <c s="1204"/>
      <c s="1204"/>
      <c s="1204"/>
      <c s="1204"/>
      <c s="1204"/>
      <c s="1204"/>
      <c s="1204"/>
      <c s="1204"/>
      <c s="1204"/>
      <c s="1204"/>
      <c s="1204"/>
      <c s="1204"/>
      <c s="1204"/>
      <c s="1204"/>
      <c s="1204"/>
      <c s="1204"/>
      <c s="1204"/>
      <c s="1204"/>
      <c s="1204"/>
      <c s="1204"/>
      <c s="1204"/>
      <c s="1204"/>
      <c s="1204"/>
      <c s="1204"/>
      <c s="1204"/>
      <c s="1204"/>
      <c s="1204"/>
      <c s="1204"/>
      <c s="1204"/>
      <c s="1205"/>
      <c r="GC20" s="925">
        <v>0</v>
      </c>
    </row>
    <row r="21" spans="1:185" s="928" customFormat="1" ht="12.75" customHeight="1">
      <c r="A21" s="944"/>
      <c s="944"/>
      <c s="944"/>
      <c s="944"/>
      <c s="944"/>
      <c s="942"/>
      <c s="942"/>
      <c s="942"/>
      <c s="942"/>
      <c s="942"/>
      <c s="942"/>
      <c s="942"/>
      <c s="942"/>
      <c s="942"/>
      <c s="942"/>
      <c s="942"/>
      <c s="942"/>
      <c s="942"/>
      <c s="945"/>
      <c s="945"/>
      <c s="942"/>
      <c s="942"/>
      <c s="942"/>
      <c s="942"/>
      <c s="942"/>
      <c s="942"/>
      <c s="942"/>
      <c s="942"/>
      <c s="942"/>
      <c s="942"/>
      <c s="942"/>
      <c s="942"/>
      <c s="942"/>
      <c s="942"/>
      <c s="942"/>
      <c s="942"/>
      <c s="942"/>
      <c s="942"/>
      <c s="942"/>
      <c s="942"/>
      <c s="942"/>
      <c s="942"/>
      <c s="942"/>
      <c s="942"/>
      <c s="942"/>
      <c s="942"/>
      <c s="942"/>
      <c s="942"/>
      <c s="942"/>
      <c s="942"/>
      <c s="942"/>
      <c s="942"/>
      <c s="942"/>
      <c s="942"/>
      <c s="942"/>
      <c s="942"/>
      <c s="942"/>
      <c s="942"/>
      <c s="942"/>
      <c s="942"/>
      <c s="942"/>
      <c s="942"/>
      <c s="942"/>
      <c s="942"/>
      <c s="942"/>
      <c s="942"/>
      <c s="942"/>
      <c s="942"/>
      <c s="942"/>
      <c s="942"/>
      <c s="942"/>
      <c s="942"/>
      <c s="942"/>
      <c s="942"/>
      <c s="942"/>
      <c s="942"/>
      <c s="942"/>
      <c s="942"/>
      <c s="942"/>
      <c s="942"/>
      <c s="942"/>
      <c s="942"/>
      <c s="942"/>
      <c s="942"/>
      <c s="942"/>
      <c s="942"/>
      <c s="942"/>
      <c s="942"/>
      <c s="942"/>
      <c s="942"/>
      <c s="942"/>
      <c s="942"/>
      <c s="942"/>
      <c s="942"/>
      <c s="942"/>
      <c s="942"/>
      <c s="942"/>
      <c s="942"/>
      <c s="942"/>
      <c s="942"/>
      <c s="942"/>
      <c s="942"/>
      <c s="942"/>
      <c s="942"/>
      <c s="942"/>
      <c s="942"/>
      <c s="942"/>
      <c s="942"/>
      <c s="942"/>
      <c s="942"/>
      <c s="942"/>
      <c s="942"/>
      <c s="942"/>
      <c s="942"/>
      <c s="942"/>
      <c s="942"/>
      <c s="942"/>
      <c s="942"/>
      <c s="942"/>
      <c s="942"/>
      <c s="942"/>
      <c s="942"/>
      <c s="942"/>
      <c s="942"/>
      <c s="942"/>
      <c s="942"/>
      <c s="942"/>
      <c s="942"/>
      <c s="942"/>
      <c s="942"/>
      <c s="942"/>
      <c s="942"/>
      <c s="942"/>
      <c s="942"/>
      <c s="942"/>
      <c s="942"/>
      <c s="942"/>
      <c s="942"/>
      <c s="942"/>
      <c s="942"/>
      <c s="942"/>
      <c s="942"/>
      <c s="942"/>
      <c s="942"/>
      <c s="942"/>
      <c s="942"/>
      <c s="942"/>
      <c s="942"/>
      <c s="942"/>
      <c s="942"/>
      <c s="942"/>
      <c s="942"/>
      <c s="942"/>
      <c s="942"/>
      <c s="942"/>
      <c s="942"/>
      <c s="942"/>
      <c s="942"/>
      <c s="942"/>
      <c s="942"/>
      <c s="942"/>
      <c s="942"/>
      <c s="942"/>
      <c s="942"/>
      <c s="942"/>
      <c s="942"/>
      <c s="942"/>
      <c s="942"/>
      <c s="942"/>
      <c s="942"/>
      <c s="942"/>
      <c s="942"/>
      <c s="942"/>
      <c s="942"/>
      <c s="942"/>
      <c s="942"/>
      <c s="942"/>
      <c s="942"/>
      <c s="942"/>
      <c s="944"/>
      <c s="944"/>
      <c s="944"/>
      <c s="944"/>
      <c s="944"/>
      <c s="925">
        <v>12</v>
      </c>
    </row>
    <row r="22" spans="1:5 180:185" s="928" customFormat="1" ht="12.75" customHeight="1">
      <c r="A22" s="944"/>
      <c s="944"/>
      <c s="944"/>
      <c s="944"/>
      <c s="944"/>
      <c r="FX22" s="944"/>
      <c s="944"/>
      <c s="944"/>
      <c s="944"/>
      <c s="944"/>
      <c s="925">
        <v>12</v>
      </c>
    </row>
    <row r="23" spans="1:128 180:185" s="1066" customFormat="1" ht="12.75" customHeight="1">
      <c r="A23" s="1065"/>
      <c s="1065"/>
      <c s="1065"/>
      <c s="1065"/>
      <c s="1065"/>
      <c r="O23" s="1067"/>
      <c s="1067"/>
      <c s="1067"/>
      <c s="1067"/>
      <c s="1067"/>
      <c s="1067"/>
      <c s="1067"/>
      <c s="1067"/>
      <c s="1067"/>
      <c s="1067"/>
      <c s="1067"/>
      <c s="1067"/>
      <c s="1067"/>
      <c s="1067"/>
      <c s="1067"/>
      <c s="1067"/>
      <c s="1067"/>
      <c s="1067"/>
      <c s="1067"/>
      <c s="1067"/>
      <c s="1067"/>
      <c s="1067"/>
      <c s="1067"/>
      <c s="1067"/>
      <c s="1067"/>
      <c s="1067"/>
      <c s="1067"/>
      <c s="1067"/>
      <c s="1067"/>
      <c s="1067"/>
      <c s="1067"/>
      <c s="1067"/>
      <c s="1067"/>
      <c s="1067"/>
      <c s="1067"/>
      <c s="1067"/>
      <c s="1067"/>
      <c s="1067"/>
      <c s="1067"/>
      <c s="1067"/>
      <c s="1067"/>
      <c s="1067"/>
      <c s="1067"/>
      <c s="1067"/>
      <c s="1067"/>
      <c s="1067"/>
      <c s="1067"/>
      <c s="1067"/>
      <c s="1067"/>
      <c s="1067"/>
      <c s="1067"/>
      <c s="1067"/>
      <c s="1067"/>
      <c s="1067"/>
      <c s="1067"/>
      <c s="1067"/>
      <c s="1067"/>
      <c s="1068"/>
      <c s="1068"/>
      <c s="1068"/>
      <c s="1068"/>
      <c s="1068"/>
      <c s="1068"/>
      <c s="1068"/>
      <c s="1068"/>
      <c s="1068"/>
      <c s="1068"/>
      <c s="1068"/>
      <c s="1068"/>
      <c s="1068"/>
      <c s="1068"/>
      <c s="1068"/>
      <c s="1068"/>
      <c s="1068"/>
      <c s="1068"/>
      <c s="1068"/>
      <c s="1068"/>
      <c s="1068"/>
      <c s="1068"/>
      <c s="1068"/>
      <c s="1068"/>
      <c s="1068"/>
      <c s="1068"/>
      <c s="1068"/>
      <c s="1068"/>
      <c s="1068"/>
      <c s="1068"/>
      <c s="1068"/>
      <c s="1068"/>
      <c s="1068"/>
      <c s="1068"/>
      <c s="1068"/>
      <c s="1068"/>
      <c s="1068"/>
      <c s="1068"/>
      <c s="1068"/>
      <c s="1068"/>
      <c s="1068"/>
      <c s="1068"/>
      <c s="1068"/>
      <c s="1068"/>
      <c s="1068"/>
      <c s="1068"/>
      <c s="1068"/>
      <c s="1068"/>
      <c s="1068"/>
      <c s="1068"/>
      <c s="1068"/>
      <c s="1068"/>
      <c s="1068"/>
      <c s="1068"/>
      <c s="1068"/>
      <c s="1068"/>
      <c s="1068"/>
      <c r="FX23" s="1065"/>
      <c s="1065"/>
      <c s="1065"/>
      <c s="1065"/>
      <c s="1065"/>
      <c s="1066">
        <v>12</v>
      </c>
    </row>
    <row r="24" spans="19:28 180:185" ht="12.75" customHeight="1">
      <c r="S24" s="941"/>
      <c s="941"/>
      <c s="941"/>
      <c s="941"/>
      <c s="941"/>
      <c s="941"/>
      <c s="941"/>
      <c s="941"/>
      <c s="941"/>
      <c s="941"/>
      <c r="FX24" s="941"/>
      <c s="941"/>
      <c s="941"/>
      <c s="941"/>
      <c s="941"/>
      <c s="929">
        <v>12</v>
      </c>
    </row>
    <row r="25" spans="1:185" ht="12" customHeight="1" hidden="1">
      <c r="A25" s="929" t="s">
        <v>81</v>
      </c>
      <c s="939">
        <v>0</v>
      </c>
      <c s="929">
        <v>0</v>
      </c>
      <c s="929">
        <v>0</v>
      </c>
      <c s="929">
        <v>3</v>
      </c>
      <c s="929">
        <v>6</v>
      </c>
      <c s="929">
        <v>18</v>
      </c>
      <c s="929">
        <v>27</v>
      </c>
      <c s="929">
        <v>18</v>
      </c>
      <c s="929">
        <v>0</v>
      </c>
      <c s="929">
        <v>0</v>
      </c>
      <c s="929">
        <v>0</v>
      </c>
      <c s="929">
        <v>0</v>
      </c>
      <c s="929">
        <v>0</v>
      </c>
      <c s="929">
        <v>0</v>
      </c>
      <c s="929">
        <v>0</v>
      </c>
      <c s="929">
        <v>0</v>
      </c>
      <c s="929">
        <v>0</v>
      </c>
      <c s="929">
        <v>0</v>
      </c>
      <c s="929">
        <v>0</v>
      </c>
      <c s="929">
        <v>0</v>
      </c>
      <c s="929">
        <v>0</v>
      </c>
      <c s="929">
        <v>0</v>
      </c>
      <c s="929">
        <v>0</v>
      </c>
      <c s="929">
        <v>0</v>
      </c>
      <c s="929">
        <v>0</v>
      </c>
      <c s="929">
        <v>0</v>
      </c>
      <c s="929">
        <v>0</v>
      </c>
      <c s="929">
        <v>0</v>
      </c>
      <c s="929">
        <v>0</v>
      </c>
      <c s="929">
        <v>0</v>
      </c>
      <c s="929">
        <v>0</v>
      </c>
      <c s="929">
        <v>0</v>
      </c>
      <c s="929">
        <v>0</v>
      </c>
      <c s="929">
        <v>0</v>
      </c>
      <c s="929">
        <v>0</v>
      </c>
      <c s="929">
        <v>0</v>
      </c>
      <c s="929">
        <v>0</v>
      </c>
      <c s="929">
        <v>0</v>
      </c>
      <c s="929">
        <v>0</v>
      </c>
      <c s="929">
        <v>0</v>
      </c>
      <c s="929">
        <v>0</v>
      </c>
      <c s="929">
        <v>0</v>
      </c>
      <c s="929">
        <v>0</v>
      </c>
      <c s="929">
        <v>0</v>
      </c>
      <c s="929">
        <v>0</v>
      </c>
      <c s="929">
        <v>0</v>
      </c>
      <c s="929">
        <v>0</v>
      </c>
      <c s="929">
        <v>0</v>
      </c>
      <c s="929">
        <v>0</v>
      </c>
      <c s="929">
        <v>0</v>
      </c>
      <c s="929">
        <v>0</v>
      </c>
      <c s="929">
        <v>0</v>
      </c>
      <c s="929">
        <v>0</v>
      </c>
      <c s="929">
        <v>0</v>
      </c>
      <c s="929">
        <v>0</v>
      </c>
      <c s="929">
        <v>0</v>
      </c>
      <c s="929">
        <v>0</v>
      </c>
      <c s="929">
        <v>0</v>
      </c>
      <c s="929">
        <v>0</v>
      </c>
      <c s="929">
        <v>0</v>
      </c>
      <c s="929">
        <v>0</v>
      </c>
      <c s="929">
        <v>0</v>
      </c>
      <c s="929">
        <v>0</v>
      </c>
      <c s="929">
        <v>0</v>
      </c>
      <c s="929">
        <v>0</v>
      </c>
      <c s="929">
        <v>0</v>
      </c>
      <c s="929">
        <v>0</v>
      </c>
      <c s="929">
        <v>0</v>
      </c>
      <c s="929">
        <v>0</v>
      </c>
      <c s="929">
        <v>0</v>
      </c>
      <c s="929">
        <v>0</v>
      </c>
      <c s="929">
        <v>0</v>
      </c>
      <c s="929">
        <v>0</v>
      </c>
      <c s="929">
        <v>0</v>
      </c>
      <c s="929">
        <v>0</v>
      </c>
      <c s="929">
        <v>0</v>
      </c>
      <c s="929">
        <v>0</v>
      </c>
      <c s="929">
        <v>0</v>
      </c>
      <c s="929">
        <v>0</v>
      </c>
      <c s="929">
        <v>0</v>
      </c>
      <c s="929">
        <v>0</v>
      </c>
      <c s="929">
        <v>0</v>
      </c>
      <c s="929">
        <v>0</v>
      </c>
      <c s="929">
        <v>0</v>
      </c>
      <c s="929">
        <v>0</v>
      </c>
      <c s="929">
        <v>0</v>
      </c>
      <c s="929">
        <v>0</v>
      </c>
      <c s="929">
        <v>0</v>
      </c>
      <c s="929">
        <v>0</v>
      </c>
      <c s="929">
        <v>0</v>
      </c>
      <c s="929">
        <v>0</v>
      </c>
      <c s="929">
        <v>0</v>
      </c>
      <c s="929">
        <v>0</v>
      </c>
      <c s="929">
        <v>0</v>
      </c>
      <c s="929">
        <v>0</v>
      </c>
      <c s="929">
        <v>0</v>
      </c>
      <c s="929">
        <v>0</v>
      </c>
      <c s="929">
        <v>0</v>
      </c>
      <c s="929">
        <v>0</v>
      </c>
      <c s="929">
        <v>0</v>
      </c>
      <c s="929">
        <v>0</v>
      </c>
      <c s="929">
        <v>0</v>
      </c>
      <c s="929">
        <v>0</v>
      </c>
      <c s="929">
        <v>0</v>
      </c>
      <c s="929">
        <v>0</v>
      </c>
      <c s="929">
        <v>0</v>
      </c>
      <c s="929">
        <v>0</v>
      </c>
      <c s="929">
        <v>0</v>
      </c>
      <c s="929">
        <v>0</v>
      </c>
      <c s="929">
        <v>0</v>
      </c>
      <c s="929">
        <v>0</v>
      </c>
      <c s="929">
        <v>0</v>
      </c>
      <c s="929">
        <v>0</v>
      </c>
      <c s="929">
        <v>0</v>
      </c>
      <c s="929">
        <v>0</v>
      </c>
      <c s="929">
        <v>0</v>
      </c>
      <c s="929">
        <v>0</v>
      </c>
      <c s="929">
        <v>0</v>
      </c>
      <c s="929">
        <v>0</v>
      </c>
      <c s="929">
        <v>0</v>
      </c>
      <c s="929">
        <v>0</v>
      </c>
      <c s="929">
        <v>0</v>
      </c>
      <c s="929">
        <v>0</v>
      </c>
      <c s="929">
        <v>0</v>
      </c>
      <c s="929">
        <v>0</v>
      </c>
      <c s="929">
        <v>0</v>
      </c>
      <c s="929">
        <v>0</v>
      </c>
      <c s="929">
        <v>0</v>
      </c>
      <c s="929">
        <v>0</v>
      </c>
      <c s="929">
        <v>0</v>
      </c>
      <c s="929">
        <v>0</v>
      </c>
      <c s="929">
        <v>0</v>
      </c>
      <c s="929">
        <v>0</v>
      </c>
      <c s="929">
        <v>0</v>
      </c>
      <c s="929">
        <v>0</v>
      </c>
      <c s="929">
        <v>0</v>
      </c>
      <c s="929">
        <v>0</v>
      </c>
      <c s="929">
        <v>0</v>
      </c>
      <c s="929">
        <v>0</v>
      </c>
      <c s="929">
        <v>0</v>
      </c>
      <c s="929">
        <v>0</v>
      </c>
      <c s="929">
        <v>0</v>
      </c>
      <c s="929">
        <v>0</v>
      </c>
      <c s="929">
        <v>0</v>
      </c>
      <c s="929">
        <v>0</v>
      </c>
      <c s="929">
        <v>0</v>
      </c>
      <c s="929">
        <v>0</v>
      </c>
      <c s="929">
        <v>0</v>
      </c>
      <c s="929">
        <v>0</v>
      </c>
      <c s="929">
        <v>0</v>
      </c>
      <c s="929">
        <v>0</v>
      </c>
      <c s="929">
        <v>0</v>
      </c>
      <c s="929">
        <v>0</v>
      </c>
      <c s="929">
        <v>0</v>
      </c>
      <c s="929">
        <v>0</v>
      </c>
      <c s="929">
        <v>0</v>
      </c>
      <c s="929">
        <v>0</v>
      </c>
      <c s="929">
        <v>0</v>
      </c>
      <c s="929">
        <v>0</v>
      </c>
      <c s="929">
        <v>0</v>
      </c>
      <c s="929">
        <v>0</v>
      </c>
      <c s="929">
        <v>0</v>
      </c>
      <c s="929">
        <v>0</v>
      </c>
      <c s="929">
        <v>0</v>
      </c>
      <c s="929">
        <v>0</v>
      </c>
      <c s="929">
        <v>0</v>
      </c>
      <c s="929">
        <v>0</v>
      </c>
      <c s="929">
        <v>0</v>
      </c>
      <c s="929">
        <v>0</v>
      </c>
      <c s="929">
        <v>0</v>
      </c>
      <c s="929">
        <v>0</v>
      </c>
      <c s="929">
        <v>0</v>
      </c>
      <c s="929">
        <v>0</v>
      </c>
      <c s="929">
        <v>0</v>
      </c>
      <c s="929">
        <v>0</v>
      </c>
      <c s="929">
        <v>0</v>
      </c>
      <c s="929">
        <v>0</v>
      </c>
      <c s="929">
        <v>0</v>
      </c>
      <c s="929">
        <v>8</v>
      </c>
      <c s="929">
        <v>8</v>
      </c>
      <c s="929">
        <v>8</v>
      </c>
      <c s="929">
        <v>8</v>
      </c>
      <c s="929">
        <v>8</v>
      </c>
      <c s="929">
        <v>12</v>
      </c>
    </row>
  </sheetData>
  <sheetProtection formatColumns="0" formatRows="0" insertRows="0" deleteColumns="0" deleteRows="0" sort="0" autoFilter="0"/>
  <mergeCells count="198">
    <mergeCell ref="CJ14:CK15"/>
    <mergeCell ref="CJ16:CK16"/>
    <mergeCell ref="CY13:CZ15"/>
    <mergeCell ref="CY16:CZ16"/>
    <mergeCell ref="DA13:DB15"/>
    <mergeCell ref="DA16:DB16"/>
    <mergeCell ref="CV11:CV17"/>
    <mergeCell ref="CW11:CW17"/>
    <mergeCell ref="CX11:CX17"/>
    <mergeCell ref="CY11:DJ11"/>
    <mergeCell ref="CY12:DD12"/>
    <mergeCell ref="DG12:DJ12"/>
    <mergeCell ref="CP11:CP17"/>
    <mergeCell ref="CQ11:CQ17"/>
    <mergeCell ref="CR11:CR17"/>
    <mergeCell ref="CS11:CS17"/>
    <mergeCell ref="CT11:CT17"/>
    <mergeCell ref="CU11:CU17"/>
    <mergeCell ref="DC13:DD15"/>
    <mergeCell ref="DC16:DD16"/>
    <mergeCell ref="DE12:DF12"/>
    <mergeCell ref="DE13:DF15"/>
    <mergeCell ref="DE16:DF16"/>
    <mergeCell ref="DG14:DH15"/>
    <mergeCell ref="AA14:AB15"/>
    <mergeCell ref="AA16:AB16"/>
    <mergeCell ref="BT13:BU15"/>
    <mergeCell ref="BT16:BU16"/>
    <mergeCell ref="O14:P15"/>
    <mergeCell ref="O16:P16"/>
    <mergeCell ref="Q14:R15"/>
    <mergeCell ref="Q16:R16"/>
    <mergeCell ref="S13:T15"/>
    <mergeCell ref="S16:T16"/>
    <mergeCell ref="U14:V15"/>
    <mergeCell ref="W14:X15"/>
    <mergeCell ref="U16:V16"/>
    <mergeCell ref="W16:X16"/>
    <mergeCell ref="BR11:BR17"/>
    <mergeCell ref="BS11:BS17"/>
    <mergeCell ref="BT11:CK11"/>
    <mergeCell ref="BT12:BW12"/>
    <mergeCell ref="BX12:CA12"/>
    <mergeCell ref="CD12:CK12"/>
    <mergeCell ref="BV16:BW16"/>
    <mergeCell ref="BX13:BY15"/>
    <mergeCell ref="CH14:CI15"/>
    <mergeCell ref="CH16:CI16"/>
    <mergeCell ref="DY8:FV8"/>
    <mergeCell ref="FW8:FW17"/>
    <mergeCell ref="AE11:AE17"/>
    <mergeCell ref="AF11:AF17"/>
    <mergeCell ref="EI11:EI17"/>
    <mergeCell ref="EJ11:EJ17"/>
    <mergeCell ref="EK11:EK17"/>
    <mergeCell ref="EL11:EL17"/>
    <mergeCell ref="CL11:CL17"/>
    <mergeCell ref="CM11:CM17"/>
    <mergeCell ref="CN11:CN17"/>
    <mergeCell ref="CO11:CO17"/>
    <mergeCell ref="AG11:AG17"/>
    <mergeCell ref="AH11:AH17"/>
    <mergeCell ref="AI11:AI17"/>
    <mergeCell ref="AJ11:AJ17"/>
    <mergeCell ref="AK11:AK17"/>
    <mergeCell ref="AL11:AL17"/>
    <mergeCell ref="AY11:AY17"/>
    <mergeCell ref="AZ11:AZ17"/>
    <mergeCell ref="BA11:BA17"/>
    <mergeCell ref="BB11:BB17"/>
    <mergeCell ref="BV13:BW15"/>
    <mergeCell ref="O8:BS8"/>
    <mergeCell ref="BT8:CX8"/>
    <mergeCell ref="CY8:DX8"/>
    <mergeCell ref="L11:L17"/>
    <mergeCell ref="M11:M17"/>
    <mergeCell ref="N11:N17"/>
    <mergeCell ref="O11:AB11"/>
    <mergeCell ref="AC11:AC17"/>
    <mergeCell ref="AD11:AD17"/>
    <mergeCell ref="O12:R12"/>
    <mergeCell ref="S12:AB12"/>
    <mergeCell ref="AM11:AM17"/>
    <mergeCell ref="AN11:AN17"/>
    <mergeCell ref="AO11:AO17"/>
    <mergeCell ref="AP11:AP17"/>
    <mergeCell ref="AQ11:AQ17"/>
    <mergeCell ref="AR11:AR17"/>
    <mergeCell ref="AS11:AS17"/>
    <mergeCell ref="AT11:AT17"/>
    <mergeCell ref="AU11:AU17"/>
    <mergeCell ref="AV11:AV17"/>
    <mergeCell ref="AW11:AW17"/>
    <mergeCell ref="AX11:AX17"/>
    <mergeCell ref="BK11:BK17"/>
    <mergeCell ref="BQ11:BQ17"/>
    <mergeCell ref="F11:F17"/>
    <mergeCell ref="G11:G17"/>
    <mergeCell ref="H11:H17"/>
    <mergeCell ref="I11:I17"/>
    <mergeCell ref="J11:J17"/>
    <mergeCell ref="K11:K17"/>
    <mergeCell ref="BP11:BP17"/>
    <mergeCell ref="BE11:BE17"/>
    <mergeCell ref="BF11:BF17"/>
    <mergeCell ref="BG11:BG17"/>
    <mergeCell ref="BH11:BH17"/>
    <mergeCell ref="BI11:BI17"/>
    <mergeCell ref="BJ11:BJ17"/>
    <mergeCell ref="BC11:BC17"/>
    <mergeCell ref="BD11:BD17"/>
    <mergeCell ref="O13:R13"/>
    <mergeCell ref="U13:X13"/>
    <mergeCell ref="Y13:AB13"/>
    <mergeCell ref="BL11:BL17"/>
    <mergeCell ref="BM11:BM17"/>
    <mergeCell ref="BN11:BN17"/>
    <mergeCell ref="BO11:BO17"/>
    <mergeCell ref="Y14:Z15"/>
    <mergeCell ref="Y16:Z16"/>
    <mergeCell ref="BX16:BY16"/>
    <mergeCell ref="BZ13:CA15"/>
    <mergeCell ref="BZ16:CA16"/>
    <mergeCell ref="CB12:CC12"/>
    <mergeCell ref="CB13:CC15"/>
    <mergeCell ref="CB16:CC16"/>
    <mergeCell ref="CD13:CE15"/>
    <mergeCell ref="CD16:CE16"/>
    <mergeCell ref="CF13:CG15"/>
    <mergeCell ref="CF16:CG16"/>
    <mergeCell ref="DG16:DH16"/>
    <mergeCell ref="DQ11:DQ17"/>
    <mergeCell ref="DR11:DR17"/>
    <mergeCell ref="DS11:DS17"/>
    <mergeCell ref="DT11:DT17"/>
    <mergeCell ref="DI14:DJ15"/>
    <mergeCell ref="DI16:DJ16"/>
    <mergeCell ref="DU11:DU17"/>
    <mergeCell ref="DV11:DV17"/>
    <mergeCell ref="DK11:DK17"/>
    <mergeCell ref="DL11:DL17"/>
    <mergeCell ref="DM11:DM17"/>
    <mergeCell ref="DN11:DN17"/>
    <mergeCell ref="DO11:DO17"/>
    <mergeCell ref="DP11:DP17"/>
    <mergeCell ref="EC11:EC17"/>
    <mergeCell ref="ED11:ED17"/>
    <mergeCell ref="EE11:EE17"/>
    <mergeCell ref="EF11:EF17"/>
    <mergeCell ref="EG11:EG17"/>
    <mergeCell ref="EH11:EH17"/>
    <mergeCell ref="DW11:DW17"/>
    <mergeCell ref="DX11:DX17"/>
    <mergeCell ref="DY11:DY17"/>
    <mergeCell ref="DZ11:DZ17"/>
    <mergeCell ref="EA11:EA17"/>
    <mergeCell ref="EB11:EB17"/>
    <mergeCell ref="FN11:FN17"/>
    <mergeCell ref="FO11:FO17"/>
    <mergeCell ref="FP11:FP17"/>
    <mergeCell ref="FQ11:FQ17"/>
    <mergeCell ref="FR11:FR17"/>
    <mergeCell ref="EV11:EV17"/>
    <mergeCell ref="EW11:EW17"/>
    <mergeCell ref="EX11:EX17"/>
    <mergeCell ref="EM11:EM17"/>
    <mergeCell ref="EN11:EN17"/>
    <mergeCell ref="EO11:EO17"/>
    <mergeCell ref="EP11:EP17"/>
    <mergeCell ref="EQ11:EQ17"/>
    <mergeCell ref="ER11:ER17"/>
    <mergeCell ref="ES11:ES17"/>
    <mergeCell ref="ET11:ET17"/>
    <mergeCell ref="EU11:EU17"/>
    <mergeCell ref="F10:FV10"/>
    <mergeCell ref="F5:BS5"/>
    <mergeCell ref="F6:BS6"/>
    <mergeCell ref="DG13:DJ13"/>
    <mergeCell ref="CH13:CK13"/>
    <mergeCell ref="FE11:FE17"/>
    <mergeCell ref="FF11:FF17"/>
    <mergeCell ref="FG11:FG17"/>
    <mergeCell ref="FH11:FH17"/>
    <mergeCell ref="FI11:FI17"/>
    <mergeCell ref="FJ11:FJ17"/>
    <mergeCell ref="EY11:EY17"/>
    <mergeCell ref="EZ11:EZ17"/>
    <mergeCell ref="FA11:FA17"/>
    <mergeCell ref="FB11:FB17"/>
    <mergeCell ref="FC11:FC17"/>
    <mergeCell ref="FD11:FD17"/>
    <mergeCell ref="FS11:FS17"/>
    <mergeCell ref="FT11:FT17"/>
    <mergeCell ref="FU11:FU17"/>
    <mergeCell ref="FV11:FV17"/>
    <mergeCell ref="FK11:FK17"/>
    <mergeCell ref="FL11:FL17"/>
    <mergeCell ref="FM11:FM17"/>
  </mergeCells>
  <dataValidations count="1">
    <dataValidation allowBlank="1" showInputMessage="1" showErrorMessage="1" sqref="AA14:AB16 U16:Z16"/>
  </dataValidations>
  <pageMargins left="0.7" right="0.7" top="0.75" bottom="0.75" header="0.3" footer="0.3"/>
  <pageSetup orientation="portrait" paperSize="9"/>
</worksheet>
</file>

<file path=xl/worksheets/sheet4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m="http://schemas.microsoft.com/office/excel/2006/main" xmlns:x14ac="http://schemas.microsoft.com/office/spreadsheetml/2009/9/ac" xmlns:xr="http://schemas.microsoft.com/office/spreadsheetml/2014/revision" xmlns:xr2="http://schemas.microsoft.com/office/spreadsheetml/2015/revision2" xmlns:xr3="http://schemas.microsoft.com/office/spreadsheetml/2016/revision3" xr:uid="{FB475FF5-F4D9-1232-3365-C23C55920C4E}" mc:Ignorable="x14ac xr xr2 xr3">
  <sheetPr>
    <tabColor theme="2" tint="-0.0999799966812134"/>
  </sheetPr>
  <dimension ref="A1:S23"/>
  <sheetViews>
    <sheetView showGridLines="0" zoomScale="90" zoomScaleNormal="90" workbookViewId="0" topLeftCell="A1">
      <pane xSplit="7" ySplit="14" topLeftCell="H15" activePane="bottomRight" state="frozen"/>
      <selection pane="topLeft" activeCell="A1" sqref="A1"/>
      <selection pane="bottomLeft" activeCell="A15" sqref="A15"/>
      <selection pane="topRight" activeCell="H1" sqref="H1"/>
      <selection pane="bottomRight" activeCell="I21" sqref="I21:I22"/>
    </sheetView>
  </sheetViews>
  <sheetFormatPr defaultColWidth="10.5742857142857" defaultRowHeight="15" customHeight="1"/>
  <cols>
    <col min="1" max="1" width="9.14285714285714" style="1635" hidden="1" customWidth="1"/>
    <col min="2" max="2" width="9.14285714285714" style="1638" hidden="1" customWidth="1"/>
    <col min="3" max="3" width="4" style="686" customWidth="1"/>
    <col min="4" max="4" width="6" style="1638" customWidth="1"/>
    <col min="5" max="5" width="36" style="1638" customWidth="1"/>
    <col min="6" max="6" width="9" style="1638" customWidth="1"/>
    <col min="7" max="7" width="42.4285714285714" style="1638" hidden="1" customWidth="1"/>
    <col min="8" max="8" width="40.7142857142857" style="1638" customWidth="1"/>
    <col min="9" max="9" width="93" style="1369" customWidth="1"/>
    <col min="10" max="17" width="10" style="1638" customWidth="1"/>
    <col min="18" max="18" width="10" style="678" customWidth="1"/>
    <col min="19" max="19" width="10.5714285714286" style="1638" hidden="1"/>
  </cols>
  <sheetData>
    <row r="1" spans="3:19" s="1369" customFormat="1" ht="15" customHeight="1" hidden="1">
      <c r="C1" s="675"/>
      <c r="H1" s="420">
        <v>4</v>
      </c>
      <c r="R1" s="423"/>
      <c s="420" t="s">
        <v>14</v>
      </c>
    </row>
    <row r="2" spans="3:19" ht="22.5" customHeight="1" hidden="1">
      <c r="C2" s="1931" t="s">
        <v>689</v>
      </c>
      <c s="542"/>
      <c s="666"/>
      <c s="1764" t="str">
        <f>IF(TEMPLATE_SPHERE="HEAT","Гкал/час","тыс. куб. м/сутки")</f>
        <v>тыс. куб. м/сутки</v>
      </c>
      <c s="683"/>
      <c s="683"/>
      <c s="292"/>
      <c r="S2" s="508">
        <v>0</v>
      </c>
    </row>
    <row r="3" spans="3:19" s="1369" customFormat="1" ht="15" customHeight="1" hidden="1">
      <c r="C3" s="675"/>
      <c r="R3" s="423"/>
      <c s="420">
        <v>0</v>
      </c>
    </row>
    <row r="4" spans="3:19" ht="15.75" customHeight="1">
      <c r="C4" s="179"/>
      <c s="512"/>
      <c s="512"/>
      <c s="512"/>
      <c s="512"/>
      <c s="512"/>
      <c r="S4" s="508">
        <v>15</v>
      </c>
    </row>
    <row r="5" spans="3:19" ht="39.75" customHeight="1">
      <c r="C5" s="179"/>
      <c s="2240" t="str">
        <f>TP_NAME_FORM</f>
        <v>Форма 8. Информация о наличии (об отсутствии) технической возможности подключения (технологического присоединения) к централизованной системе водоотведения, а также о принятии и рассмотрении заявлений о заключении договоров о подключении (технологическом присоединении) к централизованной системе водоотведения</v>
      </c>
      <c s="2240"/>
      <c s="2240"/>
      <c s="2240"/>
      <c s="2240"/>
      <c s="540"/>
      <c r="S5" s="508">
        <v>38</v>
      </c>
    </row>
    <row r="6" spans="3:19" ht="15.75" customHeight="1">
      <c r="C6" s="179"/>
      <c s="2179" t="str">
        <f>IF(org=0,"Не определено",org)</f>
        <v>ГУП КК "Кубаньводкомплекс"</v>
      </c>
      <c s="2179"/>
      <c s="2179"/>
      <c s="2179"/>
      <c s="2179"/>
      <c s="540"/>
      <c r="S6" s="508">
        <v>15</v>
      </c>
    </row>
    <row r="7" spans="1:19" s="1638" customFormat="1" ht="15.75" customHeight="1">
      <c r="A7" s="762"/>
      <c r="C7" s="179"/>
      <c s="679"/>
      <c s="679"/>
      <c s="679"/>
      <c s="679"/>
      <c s="755"/>
      <c s="540"/>
      <c r="R7" s="678"/>
      <c s="761">
        <v>15</v>
      </c>
    </row>
    <row r="8" spans="3:19" ht="1.05" customHeight="1">
      <c r="C8" s="179"/>
      <c s="512"/>
      <c s="512"/>
      <c s="512"/>
      <c s="512"/>
      <c s="540" t="s">
        <v>118</v>
      </c>
      <c r="S8" s="508">
        <v>1</v>
      </c>
    </row>
    <row r="9" spans="3:19" ht="39" customHeight="1">
      <c r="C9" s="179"/>
      <c s="714"/>
      <c s="2370" t="s">
        <v>105</v>
      </c>
      <c s="2371"/>
      <c s="819" t="str">
        <f>IF(G8="","",INDEX(DIFFERENTIATION_UNMERGE_VD,MATCH(G8,DIFFERENTIATION_ID_DIFF,0)))</f>
        <v/>
      </c>
      <c s="819" t="str">
        <f>IF(H8="","",INDEX(DIFFERENTIATION_UNMERGE_VD,MATCH(H8,DIFFERENTIATION_ID_DIFF,0)))</f>
        <v>Водоотведение; Транспортировка; Подключение (технологическое присоединение) к централизованной системе водоотведения</v>
      </c>
      <c s="2130" t="s">
        <v>301</v>
      </c>
      <c r="S9" s="508">
        <v>15</v>
      </c>
    </row>
    <row r="10" spans="1:19" s="1638" customFormat="1" ht="15.75" customHeight="1">
      <c r="A10" s="762"/>
      <c r="C10" s="179"/>
      <c s="714"/>
      <c s="2370" t="s">
        <v>564</v>
      </c>
      <c s="2371"/>
      <c s="819" t="str">
        <f>IF(G8="","",INDEX(DIFFERENTIATION_UNMERGE_AREA,MATCH(G8,DIFFERENTIATION_ID_DIFF,0)))</f>
        <v/>
      </c>
      <c s="819" t="str">
        <f>IF(H8="","",INDEX(DIFFERENTIATION_UNMERGE_AREA,MATCH(H8,DIFFERENTIATION_ID_DIFF,0)))</f>
        <v>Территория 1</v>
      </c>
      <c s="2130"/>
      <c r="R10" s="678"/>
      <c s="761">
        <v>15</v>
      </c>
    </row>
    <row r="11" spans="1:19" s="1638" customFormat="1" ht="35.25" customHeight="1">
      <c r="A11" s="762"/>
      <c r="C11" s="179"/>
      <c s="714"/>
      <c s="2370" t="s">
        <v>565</v>
      </c>
      <c s="2371"/>
      <c s="819" t="str">
        <f>IF(G8="","",INDEX(DIFFERENTIATION_UNMERGE_SYSTEM,MATCH(G8,DIFFERENTIATION_ID_DIFF,0)))</f>
        <v/>
      </c>
      <c s="819" t="str">
        <f>IF(H8="","",INDEX(DIFFERENTIATION_UNMERGE_SYSTEM,MATCH(H8,DIFFERENTIATION_ID_DIFF,0)))</f>
        <v>Ейский групповой водопровод (разводящие сети)</v>
      </c>
      <c s="2130"/>
      <c r="R11" s="678"/>
      <c s="761">
        <v>15</v>
      </c>
    </row>
    <row r="12" spans="1:19" s="1638" customFormat="1" ht="15.75" customHeight="1">
      <c r="A12" s="762"/>
      <c r="C12" s="179"/>
      <c s="2372" t="s">
        <v>300</v>
      </c>
      <c s="2373"/>
      <c s="2373"/>
      <c s="890"/>
      <c s="890"/>
      <c s="2130"/>
      <c r="R12" s="678"/>
      <c s="761">
        <v>15</v>
      </c>
    </row>
    <row r="13" spans="3:19" ht="35.7" customHeight="1">
      <c r="C13" s="179"/>
      <c s="764" t="s">
        <v>87</v>
      </c>
      <c s="763" t="s">
        <v>302</v>
      </c>
      <c s="763" t="s">
        <v>566</v>
      </c>
      <c s="811" t="s">
        <v>303</v>
      </c>
      <c s="757" t="s">
        <v>303</v>
      </c>
      <c s="2130"/>
      <c r="S13" s="508">
        <v>34</v>
      </c>
    </row>
    <row r="14" spans="3:19" ht="15" customHeight="1" hidden="1">
      <c r="C14" s="179"/>
      <c s="596" t="s">
        <v>109</v>
      </c>
      <c s="596" t="s">
        <v>110</v>
      </c>
      <c s="596" t="s">
        <v>89</v>
      </c>
      <c s="662" t="str">
        <f>G1&amp;".1"</f>
        <v>.1</v>
      </c>
      <c s="662" t="str">
        <f>H1&amp;".1"</f>
        <v>4.1</v>
      </c>
      <c s="292"/>
      <c r="S14" s="508">
        <v>0</v>
      </c>
    </row>
    <row r="15" spans="1:19" ht="15.75" customHeight="1">
      <c r="A15" s="508"/>
      <c r="C15" s="529"/>
      <c s="524">
        <v>1</v>
      </c>
      <c s="1933" t="str">
        <f>TP_P_A</f>
        <v>Количество поданных заявлений</v>
      </c>
      <c s="524" t="s">
        <v>1115</v>
      </c>
      <c s="688"/>
      <c s="688">
        <v>41</v>
      </c>
      <c s="211" t="str">
        <f>TP_P_NOTE_A</f>
        <v>Указывается количество поданных заявлений о заключении договоров о подключении (технологическом присоединении) к централизованной системе водоотведения в течение одного квартала.</v>
      </c>
      <c r="S15" s="508">
        <v>15</v>
      </c>
    </row>
    <row r="16" spans="1:19" ht="15.75" customHeight="1">
      <c r="A16" s="508"/>
      <c r="C16" s="529"/>
      <c s="524">
        <v>2</v>
      </c>
      <c s="1933" t="str">
        <f>TP_P_B</f>
        <v>Количество исполненных заявлений</v>
      </c>
      <c s="524" t="s">
        <v>1115</v>
      </c>
      <c s="688"/>
      <c s="688">
        <v>10</v>
      </c>
      <c s="211" t="str">
        <f>TP_P_NOTE_B</f>
        <v>Указывается количество исполненных заявлений о заключении договоров о подключении (технологическом присоединении) к централизованной системе водоотведения в течение одного квартала.</v>
      </c>
      <c r="S16" s="508">
        <v>15</v>
      </c>
    </row>
    <row r="17" spans="1:19" ht="78" customHeight="1">
      <c r="A17" s="508"/>
      <c r="C17" s="529"/>
      <c s="524">
        <v>3</v>
      </c>
      <c s="1933" t="str">
        <f>TP_P_V</f>
        <v>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v>
      </c>
      <c s="524" t="s">
        <v>1115</v>
      </c>
      <c s="688"/>
      <c s="688">
        <v>7</v>
      </c>
      <c s="211" t="str">
        <f>TP_P_NOTE_V</f>
        <v>Указывается количество заявлений о заключении договоров о подключении (технологическом присоединении) к централизованной системе водоотведения, по которым организацией водоотведения отказано в заключении договора о подключении (технологическом присоединении) к централизованной системе водоотведения с указанием причин, в течение одного квартала.</v>
      </c>
      <c r="S17" s="508">
        <v>74</v>
      </c>
    </row>
    <row r="18" spans="1:19" ht="54.75" customHeight="1">
      <c r="A18" s="508"/>
      <c r="C18" s="529"/>
      <c s="524">
        <v>4</v>
      </c>
      <c s="1933" t="str">
        <f>TP_P_V_1</f>
        <v>Причины отказа в заключении договора о подключении (технологическом присоединении) к централизованной системе водоотведения</v>
      </c>
      <c s="524" t="s">
        <v>306</v>
      </c>
      <c s="689"/>
      <c s="2637" t="s">
        <v>1116</v>
      </c>
      <c s="841" t="str">
        <f>TP_P_NOTE_V_1</f>
        <v>Указывается текстовое описание причин принятия решений.
Не заполняется в случае, если решения об отказе в течение отчетного периода не принимались.</v>
      </c>
      <c r="S18" s="508">
        <v>52</v>
      </c>
    </row>
    <row r="19" spans="1:19" ht="60" customHeight="1">
      <c r="A19" s="508"/>
      <c r="C19" s="529"/>
      <c s="524">
        <v>5</v>
      </c>
      <c s="1933" t="str">
        <f>TP_P_G</f>
        <v>Наличие свободной мощности (резерва мощности) на соответствующих объектах централизованных систем водоотведения в течение одного квартала, в том числе:</v>
      </c>
      <c s="524" t="str">
        <f>IF(TEMPLATE_SPHERE="HEAT","Гкал/час","тыс. куб. м/сутки")</f>
        <v>тыс. куб. м/сутки</v>
      </c>
      <c s="690">
        <f>SUM(G20:G22)</f>
        <v>0</v>
      </c>
      <c s="690">
        <f>SUM(H20:H22)</f>
        <v>0</v>
      </c>
      <c s="211" t="str">
        <f>TP_P_NOTE_G</f>
        <v>Указывается наличие свободной мощности (резерв мощности) на соответствующих объектах централизованной системы водоотведения (совокупности централизованных систем водоотведения) в случае, если для них установлены одинаковые тарифы в сфере водоотведения.
В случае если регулируемыми организациями оказываются услуги водоотведения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v>
      </c>
      <c r="S19" s="508">
        <v>57</v>
      </c>
    </row>
    <row r="20" spans="4:19" ht="15" customHeight="1" hidden="1">
      <c r="D20" s="512" t="s">
        <v>1117</v>
      </c>
      <c s="691"/>
      <c s="512"/>
      <c s="512"/>
      <c s="512"/>
      <c s="1766"/>
      <c r="S20" s="508">
        <v>0</v>
      </c>
    </row>
    <row r="21" spans="3:19" ht="29.25" customHeight="1">
      <c r="C21" s="454"/>
      <c s="542" t="s">
        <v>313</v>
      </c>
      <c s="673" t="s">
        <v>46</v>
      </c>
      <c s="1764" t="str">
        <f>IF(TEMPLATE_SPHERE="HEAT","Гкал/час","тыс. куб. м/сутки")</f>
        <v>тыс. куб. м/сутки</v>
      </c>
      <c s="683"/>
      <c s="683"/>
      <c s="2172" t="str">
        <f>TP_P_NOTE_G_1</f>
        <v>Указывается наличие свободной мощности (резерв мощности) для централизованной системы водоотведения, тариф для которой не является отличным от тарифов других централизованных систем водоотведения регулируемой организации.
При использовании регулируемой организацией нескольких централизованных систем водоотведения информация о наличии свободной мощности (резерве мощности) на соответствующих объектах централизованных систем водоотведения публикуется в отношении каждой централизованной системы водоотведения в отдельных строках.</v>
      </c>
      <c r="S21" s="508">
        <v>28</v>
      </c>
    </row>
    <row r="22" spans="1:19" ht="15.75" customHeight="1">
      <c r="A22" s="508"/>
      <c r="C22" s="508"/>
      <c s="350"/>
      <c s="583" t="s">
        <v>1118</v>
      </c>
      <c s="575"/>
      <c s="575"/>
      <c s="575"/>
      <c s="2174"/>
      <c r="R22" s="508"/>
      <c s="508">
        <v>15</v>
      </c>
    </row>
    <row r="23" spans="1:19" ht="22.5" customHeight="1" hidden="1">
      <c r="A23" s="452" t="s">
        <v>81</v>
      </c>
      <c s="508">
        <v>0</v>
      </c>
      <c s="686">
        <v>4</v>
      </c>
      <c s="508">
        <v>6</v>
      </c>
      <c s="508">
        <v>36</v>
      </c>
      <c s="508">
        <v>9</v>
      </c>
      <c s="761">
        <v>0</v>
      </c>
      <c s="508">
        <v>40</v>
      </c>
      <c s="420">
        <v>93</v>
      </c>
      <c s="508">
        <v>10</v>
      </c>
      <c s="508">
        <v>10</v>
      </c>
      <c s="508">
        <v>10</v>
      </c>
      <c s="508">
        <v>10</v>
      </c>
      <c s="508">
        <v>10</v>
      </c>
      <c s="508">
        <v>10</v>
      </c>
      <c s="508">
        <v>10</v>
      </c>
      <c s="508">
        <v>10</v>
      </c>
      <c s="678">
        <v>10</v>
      </c>
      <c s="508">
        <v>23</v>
      </c>
    </row>
  </sheetData>
  <sheetProtection formatColumns="0" formatRows="0" insertRows="0" deleteColumns="0" deleteRows="0" sort="0" autoFilter="0"/>
  <mergeCells count="8">
    <mergeCell ref="I21:I22"/>
    <mergeCell ref="I9:I13"/>
    <mergeCell ref="D5:H5"/>
    <mergeCell ref="D6:H6"/>
    <mergeCell ref="E9:F9"/>
    <mergeCell ref="E10:F10"/>
    <mergeCell ref="E11:F11"/>
    <mergeCell ref="D12:F12"/>
  </mergeCells>
  <dataValidations count="4">
    <dataValidation type="decimal" allowBlank="1" showErrorMessage="1" errorTitle="Ошибка" error="Допускается ввод только действительных чисел!" sqref="G2:H2 G21:H21">
      <formula1>-0999999999999999000000000</formula1>
      <formula2>9.99999999999999E+23</formula2>
    </dataValidation>
    <dataValidation type="whole" allowBlank="1" showErrorMessage="1" errorTitle="Ошибка" error="Допускается ввод только неотрицательных целых чисел!" sqref="G15:H17">
      <formula1>0</formula1>
      <formula2>9.99999999999999E+23</formula2>
    </dataValidation>
    <dataValidation type="textLength" operator="lessThanOrEqual" allowBlank="1" showInputMessage="1" showErrorMessage="1" errorTitle="Ошибка" error="Допускается ввод не более 900 символов!" sqref="E2 E21 G18:H18">
      <formula1>900</formula1>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3 E15"/>
  </dataValidations>
  <pageMargins left="0.7" right="0.7" top="0.75" bottom="0.75" header="0.3" footer="0.3"/>
  <pageSetup orientation="portrait" paperSize="9"/>
</worksheet>
</file>

<file path=xl/worksheets/sheet4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m="http://schemas.microsoft.com/office/excel/2006/main" xmlns:x14ac="http://schemas.microsoft.com/office/spreadsheetml/2009/9/ac" xmlns:xr="http://schemas.microsoft.com/office/spreadsheetml/2014/revision" xmlns:xr2="http://schemas.microsoft.com/office/spreadsheetml/2015/revision2" xmlns:xr3="http://schemas.microsoft.com/office/spreadsheetml/2016/revision3" xr:uid="{D08A0EFA-E904-F746-671F-4614429A40A1}" mc:Ignorable="x14ac xr xr2 xr3">
  <sheetPr>
    <tabColor theme="6" tint="0.400000005960464"/>
    <pageSetUpPr fitToPage="1"/>
  </sheetPr>
  <dimension ref="A1:Q32"/>
  <sheetViews>
    <sheetView showGridLines="0" zoomScale="90" zoomScaleNormal="90" workbookViewId="0" topLeftCell="A1">
      <pane xSplit="5" ySplit="13" topLeftCell="F14" activePane="bottomRight" state="frozen"/>
      <selection pane="topLeft" activeCell="A1" sqref="A1"/>
      <selection pane="bottomLeft" activeCell="A14" sqref="A14"/>
      <selection pane="topRight" activeCell="F1" sqref="F1"/>
      <selection pane="bottomRight" activeCell="A1" sqref="A1"/>
    </sheetView>
  </sheetViews>
  <sheetFormatPr defaultColWidth="10.5742857142857" defaultRowHeight="14.25" customHeight="1"/>
  <cols>
    <col min="1" max="1" width="9.14285714285714" style="2400" hidden="1" customWidth="1"/>
    <col min="2" max="2" width="9.14285714285714" style="1369" hidden="1" customWidth="1"/>
    <col min="3" max="3" width="3" style="347" customWidth="1"/>
    <col min="4" max="4" width="6" style="1638" customWidth="1"/>
    <col min="5" max="6" width="64" style="1638" customWidth="1"/>
    <col min="7" max="7" width="140" style="1638" customWidth="1"/>
    <col min="8" max="8" width="10" style="1638" customWidth="1"/>
    <col min="9" max="10" width="10" style="1627" customWidth="1"/>
    <col min="11" max="16" width="10" style="1638" customWidth="1"/>
    <col min="17" max="17" width="10.5714285714286" style="1638" hidden="1"/>
  </cols>
  <sheetData>
    <row r="1" spans="13:17" ht="22.5" customHeight="1" hidden="1">
      <c r="M1" s="258"/>
      <c s="258"/>
      <c r="P1" s="258"/>
      <c s="86" t="s">
        <v>14</v>
      </c>
    </row>
    <row r="2" spans="17:17" ht="14.25" customHeight="1" hidden="1">
      <c r="Q2" s="86">
        <v>0</v>
      </c>
    </row>
    <row r="3" spans="17:17" ht="14.25" customHeight="1" hidden="1">
      <c r="Q3" s="86">
        <v>0</v>
      </c>
    </row>
    <row r="4" spans="3:17" ht="3" customHeight="1">
      <c r="C4" s="99"/>
      <c s="87"/>
      <c s="87"/>
      <c s="88"/>
      <c s="88"/>
      <c r="Q4" s="86">
        <v>3</v>
      </c>
    </row>
    <row r="5" spans="3:17" ht="29.25" customHeight="1">
      <c r="C5" s="99"/>
      <c s="2457" t="str">
        <f>TERMS_NAME_FORM</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водоотведения</v>
      </c>
      <c s="2458"/>
      <c s="2458"/>
      <c s="2459"/>
      <c r="Q5" s="86">
        <v>28</v>
      </c>
    </row>
    <row r="6" spans="1:17" s="1638" customFormat="1" ht="18.75" customHeight="1">
      <c r="A6" s="885"/>
      <c s="420"/>
      <c s="379"/>
      <c s="2460" t="str">
        <f>IF(org=0,"Не определено",org)</f>
        <v>ГУП КК "Кубаньводкомплекс"</v>
      </c>
      <c s="2461"/>
      <c s="2461"/>
      <c s="2462"/>
      <c r="I6" s="503"/>
      <c s="503"/>
      <c r="Q6" s="761">
        <v>18</v>
      </c>
    </row>
    <row r="7" spans="3:17" ht="14.7" customHeight="1">
      <c r="C7" s="99"/>
      <c s="87"/>
      <c s="98"/>
      <c s="755"/>
      <c s="196"/>
      <c r="Q7" s="86">
        <v>14</v>
      </c>
    </row>
    <row r="8" spans="1:17" s="1638" customFormat="1" ht="1.05" customHeight="1">
      <c r="A8" s="1672"/>
      <c s="1163"/>
      <c s="379"/>
      <c s="366"/>
      <c s="392"/>
      <c s="755"/>
      <c s="196"/>
      <c r="I8" s="1627"/>
      <c s="1627"/>
      <c r="Q8" s="1634">
        <v>1</v>
      </c>
    </row>
    <row r="9" spans="3:17" ht="14.7" customHeight="1">
      <c r="C9" s="99"/>
      <c s="2212" t="s">
        <v>300</v>
      </c>
      <c s="2212"/>
      <c s="2212"/>
      <c s="2392" t="s">
        <v>301</v>
      </c>
      <c r="Q9" s="86">
        <v>14</v>
      </c>
    </row>
    <row r="10" spans="3:17" ht="24" customHeight="1">
      <c r="C10" s="99"/>
      <c s="108" t="s">
        <v>87</v>
      </c>
      <c s="111" t="s">
        <v>302</v>
      </c>
      <c s="111" t="s">
        <v>390</v>
      </c>
      <c s="2392"/>
      <c r="Q10" s="86">
        <v>23</v>
      </c>
    </row>
    <row r="11" spans="3:17" ht="12" customHeight="1" hidden="1">
      <c r="C11" s="99"/>
      <c s="90"/>
      <c s="90"/>
      <c s="90"/>
      <c s="90"/>
      <c r="Q11" s="86">
        <v>0</v>
      </c>
    </row>
    <row r="12" spans="1:17" ht="65.25" customHeight="1">
      <c r="A12" s="195"/>
      <c r="C12" s="99"/>
      <c s="150">
        <v>1</v>
      </c>
      <c s="200" t="str">
        <f>TERMS_P_1</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водоотведения</v>
      </c>
      <c s="201" t="s">
        <v>306</v>
      </c>
      <c s="154"/>
      <c r="Q12" s="86">
        <v>62</v>
      </c>
    </row>
    <row r="13" spans="1:17" ht="24" customHeight="1">
      <c r="A13" s="195"/>
      <c r="C13" s="99"/>
      <c s="150" t="s">
        <v>1022</v>
      </c>
      <c s="197" t="str">
        <f>"Форма публичного договора "&amp;IF(TEMPLATE_SPHERE="TKO","на оказание регулируемых услуг","поставки товаров (оказания услуг)")&amp;IF(OR(TEMPLATE_SPHERE&lt;&gt;"HEAT",TEMPLATE_SPHERE&lt;&gt;"TKO"),", тарифы на которые подлежат регулированию","")</f>
        <v>Форма публичного договора поставки товаров (оказания услуг), тарифы на которые подлежат регулированию</v>
      </c>
      <c s="201" t="s">
        <v>306</v>
      </c>
      <c s="154"/>
      <c r="Q13" s="86">
        <v>23</v>
      </c>
    </row>
    <row r="14" spans="1:17" ht="14.7" customHeight="1">
      <c r="A14" s="195"/>
      <c r="C14" s="99"/>
      <c s="150" t="s">
        <v>1058</v>
      </c>
      <c s="198"/>
      <c s="216"/>
      <c s="2172" t="str">
        <f>"Указывается форма "&amp;IF(TEMPLATE_SPHERE="TKO","публичного ","")&amp;"договора, "&amp;IF(TEMPLATE_SPHERE="HEAT","","используемая регулируемой организацией, ")&amp;"в виде ссылки на документ, предварительно загруженный в хранилище файлов ФГИС ЕИАС"&amp;IF(TEMPLATE_SPHERE="TKO",", либо ссылка на официальный сайт в сети ""Интернет"", на котором размещена информация","")&amp;".
В случае наличия нескольких форм таких договоров информация по каждой из них указывается в отдельной строке."</f>
        <v>Указывается форма договора, используемая регулируемой организацией, в виде ссылки на документ, предварительно загруженный в хранилище файлов ФГИС ЕИАС.
В случае наличия нескольких форм таких договоров информация по каждой из них указывается в отдельной строке.</v>
      </c>
      <c r="Q14" s="86">
        <v>14</v>
      </c>
    </row>
    <row r="15" spans="1:17" ht="15.75" customHeight="1">
      <c r="A15" s="195"/>
      <c r="C15" s="99"/>
      <c s="112"/>
      <c s="352" t="s">
        <v>1119</v>
      </c>
      <c s="204"/>
      <c s="2174"/>
      <c r="Q15" s="86">
        <v>15</v>
      </c>
    </row>
    <row r="16" spans="1:17" ht="14.7" customHeight="1">
      <c r="A16" s="195"/>
      <c r="C16" s="99"/>
      <c s="150" t="s">
        <v>1024</v>
      </c>
      <c s="197" t="str">
        <f>"Договор о подключении (технологическом присоединении) к"&amp;IF(TEMPLATE_SPHERE="HEAT",""," централизованной")&amp;" системе "&amp;TEMPLATE_SPHERE_RUS</f>
        <v>Договор о подключении (технологическом присоединении) к централизованной системе водоотведения</v>
      </c>
      <c s="201" t="s">
        <v>306</v>
      </c>
      <c s="340"/>
      <c r="Q16" s="86">
        <v>14</v>
      </c>
    </row>
    <row r="17" spans="1:17" ht="14.7" customHeight="1">
      <c r="A17" s="195"/>
      <c r="C17" s="99"/>
      <c s="150" t="s">
        <v>1066</v>
      </c>
      <c s="198"/>
      <c s="388"/>
      <c s="2172" t="str">
        <f>"Информация размещается в случае, если"&amp;IF(TEMPLATE_SPHERE="HEAT",""," регулируемая")&amp;" организация осуществляет услуги по подключению (технологическому присоединению) к системе "&amp;TEMPLATE_SPHERE_RUS&amp;".
Указывается ссылка на документ, предварительно загруженный в хранилище файлов ФГИС ЕИАС.
В случае наличия нескольких договоров о подключении к"&amp;IF(TEMPLATE_SPHERE="HEAT",""," централизованной")&amp;" системе "&amp;TEMPLATE_SPHERE_RUS&amp;" информация по каждому из них указывается в отдельной строке."</f>
        <v>Информация размещается в случае, если регулируемая организация осуществляет услуги по подключению (технологическому присоединению) к системе водоотведения.
Указывается ссылка на документ, предварительно загруженный в хранилище файлов ФГИС ЕИАС.
В случае наличия нескольких договоров о подключении к централизованной системе водоотведения информация по каждому из них указывается в отдельной строке.</v>
      </c>
      <c r="Q17" s="86">
        <v>14</v>
      </c>
    </row>
    <row r="18" spans="1:17" s="1638" customFormat="1" ht="22.05" customHeight="1">
      <c r="A18" s="346"/>
      <c s="149"/>
      <c s="310"/>
      <c s="350"/>
      <c s="352" t="s">
        <v>1120</v>
      </c>
      <c s="341"/>
      <c s="2174"/>
      <c r="I18" s="353"/>
      <c s="353"/>
      <c r="Q18" s="345">
        <v>21</v>
      </c>
    </row>
    <row r="19" spans="1:17" s="1638" customFormat="1" ht="256.5" customHeight="1" hidden="1">
      <c r="A19" s="346"/>
      <c s="420"/>
      <c s="379"/>
      <c s="887" t="s">
        <v>1026</v>
      </c>
      <c s="886" t="s">
        <v>1121</v>
      </c>
      <c s="388"/>
      <c s="340" t="s">
        <v>1122</v>
      </c>
      <c r="I19" s="503"/>
      <c s="503"/>
      <c r="Q19" s="761">
        <v>0</v>
      </c>
    </row>
    <row r="20" spans="1:17" s="1638" customFormat="1" ht="14.7" customHeight="1">
      <c r="A20" s="346"/>
      <c s="149"/>
      <c s="310"/>
      <c s="888">
        <v>2</v>
      </c>
      <c s="333" t="s">
        <v>1123</v>
      </c>
      <c s="201" t="s">
        <v>306</v>
      </c>
      <c s="340"/>
      <c r="I20" s="353"/>
      <c s="353"/>
      <c r="Q20" s="345">
        <v>14</v>
      </c>
    </row>
    <row r="21" spans="1:17" s="1638" customFormat="1" ht="18.75" customHeight="1" hidden="1">
      <c r="A21" s="346"/>
      <c s="149"/>
      <c s="310"/>
      <c s="336" t="s">
        <v>636</v>
      </c>
      <c s="335"/>
      <c s="334"/>
      <c s="344"/>
      <c s="337"/>
      <c s="353"/>
      <c s="353"/>
      <c r="Q21" s="345">
        <v>0</v>
      </c>
    </row>
    <row r="22" spans="1:17" ht="15.75" customHeight="1">
      <c r="A22" s="195"/>
      <c r="C22" s="99"/>
      <c s="112"/>
      <c s="206" t="s">
        <v>322</v>
      </c>
      <c s="341"/>
      <c s="342"/>
      <c r="Q22" s="86">
        <v>15</v>
      </c>
    </row>
    <row r="23" spans="1:17" s="1638" customFormat="1" ht="22.5" customHeight="1" hidden="1">
      <c r="A23" s="346"/>
      <c s="1163"/>
      <c s="379"/>
      <c s="1676" t="s">
        <v>110</v>
      </c>
      <c s="200" t="s">
        <v>1124</v>
      </c>
      <c s="1673" t="s">
        <v>306</v>
      </c>
      <c s="348"/>
      <c r="I23" s="1627"/>
      <c s="1627"/>
      <c r="Q23" s="1634">
        <v>0</v>
      </c>
    </row>
    <row r="24" spans="1:17" s="1638" customFormat="1" ht="14.25" customHeight="1" hidden="1">
      <c r="A24" s="346"/>
      <c s="1163"/>
      <c s="379"/>
      <c s="1676" t="s">
        <v>709</v>
      </c>
      <c s="1675" t="s">
        <v>1125</v>
      </c>
      <c s="1673" t="s">
        <v>306</v>
      </c>
      <c s="340"/>
      <c r="I24" s="1627"/>
      <c s="1627"/>
      <c r="Q24" s="1634">
        <v>0</v>
      </c>
    </row>
    <row r="25" spans="1:17" s="1638" customFormat="1" ht="14.25" customHeight="1" hidden="1">
      <c r="A25" s="346"/>
      <c s="1163"/>
      <c s="379"/>
      <c s="1676" t="s">
        <v>712</v>
      </c>
      <c s="198"/>
      <c s="388"/>
      <c s="2172" t="s">
        <v>1126</v>
      </c>
      <c r="I25" s="1627"/>
      <c s="1627"/>
      <c r="Q25" s="1634">
        <v>0</v>
      </c>
    </row>
    <row r="26" spans="1:17" s="1638" customFormat="1" ht="22.5" customHeight="1" hidden="1">
      <c r="A26" s="346"/>
      <c s="1163"/>
      <c s="379"/>
      <c s="350"/>
      <c s="352" t="s">
        <v>1127</v>
      </c>
      <c s="341"/>
      <c s="2174"/>
      <c r="I26" s="1627"/>
      <c s="1627"/>
      <c r="Q26" s="1634">
        <v>0</v>
      </c>
    </row>
    <row r="27" spans="17:17" ht="3" customHeight="1">
      <c r="Q27" s="86">
        <v>3</v>
      </c>
    </row>
    <row r="28" spans="4:17" ht="14.7" customHeight="1">
      <c r="D28" s="339"/>
      <c s="338"/>
      <c s="318"/>
      <c s="318"/>
      <c s="318"/>
      <c s="318"/>
      <c s="318"/>
      <c s="318"/>
      <c s="318"/>
      <c s="318"/>
      <c s="318"/>
      <c s="318"/>
      <c s="318"/>
      <c s="86">
        <v>14</v>
      </c>
    </row>
    <row r="29" spans="4:17" ht="14.7" customHeight="1">
      <c r="D29" s="339"/>
      <c s="585"/>
      <c r="Q29" s="86">
        <v>14</v>
      </c>
    </row>
    <row r="30" spans="17:17" ht="14.7" customHeight="1">
      <c r="Q30" s="86">
        <v>14</v>
      </c>
    </row>
    <row r="31" spans="5:17" ht="14.7" customHeight="1">
      <c r="E31" s="761"/>
      <c r="Q31" s="86">
        <v>14</v>
      </c>
    </row>
    <row r="32" spans="1:17" ht="22.5" customHeight="1" hidden="1">
      <c r="A32" s="104" t="s">
        <v>81</v>
      </c>
      <c s="149">
        <v>0</v>
      </c>
      <c s="100">
        <v>3</v>
      </c>
      <c s="86">
        <v>6</v>
      </c>
      <c s="86">
        <v>64</v>
      </c>
      <c s="86">
        <v>64</v>
      </c>
      <c s="86">
        <v>140</v>
      </c>
      <c s="86">
        <v>10</v>
      </c>
      <c s="158">
        <v>10</v>
      </c>
      <c s="158">
        <v>10</v>
      </c>
      <c s="86">
        <v>10</v>
      </c>
      <c s="86">
        <v>10</v>
      </c>
      <c s="86">
        <v>10</v>
      </c>
      <c s="86">
        <v>10</v>
      </c>
      <c s="86">
        <v>10</v>
      </c>
      <c s="86">
        <v>10</v>
      </c>
      <c s="86">
        <v>23</v>
      </c>
    </row>
  </sheetData>
  <sheetProtection formatColumns="0" formatRows="0" insertRows="0" deleteColumns="0" deleteRows="0" sort="0" autoFilter="0"/>
  <mergeCells count="7">
    <mergeCell ref="D5:G5"/>
    <mergeCell ref="D6:G6"/>
    <mergeCell ref="G25:G26"/>
    <mergeCell ref="G17:G18"/>
    <mergeCell ref="D9:F9"/>
    <mergeCell ref="G9:G10"/>
    <mergeCell ref="G14:G15"/>
  </mergeCells>
  <dataValidations count="2">
    <dataValidation type="textLength" operator="lessThanOrEqual" allowBlank="1" showInputMessage="1" showErrorMessage="1" errorTitle="Ошибка" error="Допускается ввод не более 900 символов!" sqref="E14 G14 G25 E17 G17 G21 E25">
      <formula1>900</formula1>
    </dataValidation>
    <dataValidation type="textLength" operator="lessThanOrEqual" allowBlank="1" showInputMessage="1" showErrorMessage="1" prompt="Введите ссылку на обосновывающие материалы, загруженные с помощью &quot;ЕИАС Web&quot;." errorTitle="Ошибка" error="Допускается ввод не более 900 символов!" sqref="F14 F17:F19 F25:F26">
      <formula1>900</formula1>
    </dataValidation>
  </dataValidations>
  <printOptions horizontalCentered="1" verticalCentered="1"/>
  <pageMargins left="0" right="0" top="0" bottom="0" header="0" footer="0.79"/>
  <pageSetup blackAndWhite="1" fitToHeight="0" orientation="portrait" paperSize="9" scale="41"/>
</worksheet>
</file>

<file path=xl/worksheets/sheet4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m="http://schemas.microsoft.com/office/excel/2006/main" xmlns:x14ac="http://schemas.microsoft.com/office/spreadsheetml/2009/9/ac" xmlns:xr="http://schemas.microsoft.com/office/spreadsheetml/2014/revision" xmlns:xr2="http://schemas.microsoft.com/office/spreadsheetml/2015/revision2" xmlns:xr3="http://schemas.microsoft.com/office/spreadsheetml/2016/revision3" xr:uid="{9AEAC5A9-B407-797A-47C6-270268CD542F}" mc:Ignorable="x14ac xr xr2 xr3">
  <sheetPr>
    <tabColor theme="6" tint="0.400000005960464"/>
  </sheetPr>
  <dimension ref="A1:M43"/>
  <sheetViews>
    <sheetView showGridLines="0" zoomScale="90" zoomScaleNormal="90" workbookViewId="0" topLeftCell="A1">
      <pane xSplit="6" ySplit="21" topLeftCell="G22" activePane="bottomRight" state="frozen"/>
      <selection pane="topLeft" activeCell="A1" sqref="A1"/>
      <selection pane="bottomLeft" activeCell="A22" sqref="A22"/>
      <selection pane="topRight" activeCell="G1" sqref="G1"/>
      <selection pane="bottomRight" activeCell="A1" sqref="A1"/>
    </sheetView>
  </sheetViews>
  <sheetFormatPr defaultColWidth="10.5742857142857" defaultRowHeight="14.25" customHeight="1"/>
  <cols>
    <col min="1" max="1" width="9.14285714285714" style="1779" hidden="1" customWidth="1"/>
    <col min="2" max="2" width="9.14285714285714" style="1369" hidden="1" customWidth="1"/>
    <col min="3" max="3" width="3" style="347" customWidth="1"/>
    <col min="4" max="4" width="6" style="1638" customWidth="1"/>
    <col min="5" max="5" width="63" style="1638" customWidth="1"/>
    <col min="6" max="6" width="1.71428571428571" style="1638" hidden="1" customWidth="1"/>
    <col min="7" max="8" width="35" style="1638" customWidth="1"/>
    <col min="9" max="9" width="91" style="1638" customWidth="1"/>
    <col min="10" max="10" width="68" style="1638" customWidth="1"/>
    <col min="11" max="12" width="10" style="1627" customWidth="1"/>
    <col min="13" max="13" width="10.5714285714286" style="1638" hidden="1"/>
  </cols>
  <sheetData>
    <row r="1" spans="13:13" ht="22.5" customHeight="1" hidden="1">
      <c r="M1" s="86" t="s">
        <v>14</v>
      </c>
    </row>
    <row r="2" spans="1:13" s="1638" customFormat="1" ht="18.75" customHeight="1" hidden="1">
      <c r="A2" s="1686"/>
      <c s="1163"/>
      <c s="1733" t="s">
        <v>689</v>
      </c>
      <c s="1676"/>
      <c s="202"/>
      <c s="1673"/>
      <c s="1673" t="s">
        <v>306</v>
      </c>
      <c s="1164"/>
      <c r="K2" s="1627"/>
      <c s="1627"/>
      <c s="1634">
        <v>0</v>
      </c>
    </row>
    <row r="3" spans="1:13" s="1638" customFormat="1" ht="14.25" customHeight="1" hidden="1">
      <c r="A3" s="1365"/>
      <c s="1163"/>
      <c s="347"/>
      <c r="K3" s="1627"/>
      <c s="1627"/>
      <c s="1634">
        <v>0</v>
      </c>
    </row>
    <row r="4" spans="1:13" s="1638" customFormat="1" ht="18.75" customHeight="1" hidden="1">
      <c r="A4" s="1686"/>
      <c s="1163"/>
      <c s="1733" t="s">
        <v>689</v>
      </c>
      <c s="1676"/>
      <c s="208" t="s">
        <v>1128</v>
      </c>
      <c s="1673"/>
      <c s="260"/>
      <c s="1673" t="s">
        <v>306</v>
      </c>
      <c r="K4" s="1627"/>
      <c s="1627"/>
      <c s="1634">
        <v>0</v>
      </c>
    </row>
    <row r="5" spans="1:13" s="1638" customFormat="1" ht="14.25" customHeight="1" hidden="1">
      <c r="A5" s="1365"/>
      <c s="1163"/>
      <c s="347"/>
      <c r="K5" s="1627"/>
      <c s="1627"/>
      <c s="1634">
        <v>0</v>
      </c>
    </row>
    <row r="6" spans="1:13" s="1638" customFormat="1" ht="18.75" customHeight="1" hidden="1">
      <c r="A6" s="1686"/>
      <c s="1163"/>
      <c s="1733" t="s">
        <v>689</v>
      </c>
      <c s="1676"/>
      <c s="209" t="s">
        <v>1129</v>
      </c>
      <c s="1673"/>
      <c s="260"/>
      <c s="1673" t="s">
        <v>306</v>
      </c>
      <c r="K6" s="1627"/>
      <c s="1627"/>
      <c s="1634">
        <v>0</v>
      </c>
    </row>
    <row r="7" spans="1:13" s="1638" customFormat="1" ht="14.25" customHeight="1" hidden="1">
      <c r="A7" s="1365"/>
      <c s="1163"/>
      <c s="347"/>
      <c r="K7" s="1627"/>
      <c s="1627"/>
      <c s="1634">
        <v>0</v>
      </c>
    </row>
    <row r="8" spans="1:13" s="1638" customFormat="1" ht="18.75" customHeight="1" hidden="1">
      <c r="A8" s="1686"/>
      <c s="1163"/>
      <c s="1733" t="s">
        <v>689</v>
      </c>
      <c s="1676"/>
      <c s="209" t="s">
        <v>1130</v>
      </c>
      <c s="1673"/>
      <c s="260"/>
      <c s="1673" t="s">
        <v>306</v>
      </c>
      <c r="K8" s="1627"/>
      <c s="1627"/>
      <c s="1634">
        <v>0</v>
      </c>
    </row>
    <row r="9" spans="1:13" s="1638" customFormat="1" ht="14.25" customHeight="1" hidden="1">
      <c r="A9" s="1365"/>
      <c s="1163"/>
      <c s="347"/>
      <c r="K9" s="1627"/>
      <c s="1627"/>
      <c s="1634">
        <v>0</v>
      </c>
    </row>
    <row r="10" spans="1:13" s="1638" customFormat="1" ht="18.75" customHeight="1" hidden="1">
      <c r="A10" s="1686"/>
      <c s="1163"/>
      <c s="1733" t="s">
        <v>689</v>
      </c>
      <c s="1676"/>
      <c s="209" t="s">
        <v>1131</v>
      </c>
      <c s="1673"/>
      <c s="1677"/>
      <c s="1673" t="s">
        <v>306</v>
      </c>
      <c r="K10" s="1627"/>
      <c s="1627" t="s">
        <v>1132</v>
      </c>
      <c s="1634">
        <v>0</v>
      </c>
    </row>
    <row r="11" spans="13:13" ht="14.25" customHeight="1" hidden="1">
      <c r="M11" s="86">
        <v>0</v>
      </c>
    </row>
    <row r="12" spans="13:13" ht="14.25" customHeight="1" hidden="1">
      <c r="M12" s="86">
        <v>0</v>
      </c>
    </row>
    <row r="13" spans="3:13" ht="14.7" customHeight="1">
      <c r="C13" s="99"/>
      <c s="87"/>
      <c s="87"/>
      <c s="87"/>
      <c s="87"/>
      <c s="88"/>
      <c s="88"/>
      <c r="M13" s="86">
        <v>14</v>
      </c>
    </row>
    <row r="14" spans="3:13" ht="29.25" customHeight="1">
      <c r="C14" s="99"/>
      <c s="2457" t="str">
        <f>PROCEDURE_TC_NAME_FORM</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водоотведения</v>
      </c>
      <c s="2458"/>
      <c s="2458"/>
      <c s="2458"/>
      <c s="2459"/>
      <c r="J14" s="1634"/>
      <c r="M14" s="86">
        <v>28</v>
      </c>
    </row>
    <row r="15" spans="1:13" s="1638" customFormat="1" ht="14.7" customHeight="1">
      <c r="A15" s="1365"/>
      <c s="1163"/>
      <c s="379"/>
      <c s="2460" t="str">
        <f>IF(org=0,"Не определено",org)</f>
        <v>ГУП КК "Кубаньводкомплекс"</v>
      </c>
      <c s="2461"/>
      <c s="2461"/>
      <c s="2461"/>
      <c s="2462"/>
      <c r="J15" s="855"/>
      <c s="1627"/>
      <c s="1627"/>
      <c s="1634">
        <v>14</v>
      </c>
    </row>
    <row r="16" spans="3:13" ht="14.7" customHeight="1">
      <c r="C16" s="99"/>
      <c s="87"/>
      <c s="98"/>
      <c s="98"/>
      <c s="98"/>
      <c s="755"/>
      <c s="196"/>
      <c r="M16" s="86">
        <v>14</v>
      </c>
    </row>
    <row r="17" spans="1:13" s="1638" customFormat="1" ht="14.25" customHeight="1" hidden="1">
      <c r="A17" s="1365"/>
      <c s="1163"/>
      <c s="379"/>
      <c s="366"/>
      <c s="392"/>
      <c s="392"/>
      <c s="392"/>
      <c s="755"/>
      <c s="196"/>
      <c r="K17" s="1627"/>
      <c s="1627"/>
      <c s="1634">
        <v>0</v>
      </c>
    </row>
    <row r="18" spans="3:13" ht="22.05" customHeight="1">
      <c r="C18" s="99"/>
      <c s="2212" t="s">
        <v>300</v>
      </c>
      <c s="2212"/>
      <c s="2212"/>
      <c s="2212"/>
      <c s="2212"/>
      <c s="2392" t="s">
        <v>301</v>
      </c>
      <c r="M18" s="86">
        <v>21</v>
      </c>
    </row>
    <row r="19" spans="3:13" ht="22.05" customHeight="1">
      <c r="C19" s="99"/>
      <c s="108" t="s">
        <v>87</v>
      </c>
      <c s="111" t="s">
        <v>302</v>
      </c>
      <c s="111"/>
      <c s="111" t="s">
        <v>303</v>
      </c>
      <c s="111" t="s">
        <v>390</v>
      </c>
      <c s="2392"/>
      <c r="M19" s="86">
        <v>21</v>
      </c>
    </row>
    <row r="20" spans="3:13" ht="12" customHeight="1" hidden="1">
      <c r="C20" s="99"/>
      <c s="90"/>
      <c s="90"/>
      <c s="90"/>
      <c s="90"/>
      <c s="90"/>
      <c s="90"/>
      <c r="M20" s="86">
        <v>0</v>
      </c>
    </row>
    <row r="21" spans="1:13" ht="14.7" customHeight="1">
      <c r="A21" s="1686"/>
      <c r="C21" s="99"/>
      <c s="150">
        <v>1</v>
      </c>
      <c s="2464" t="s">
        <v>1133</v>
      </c>
      <c s="2464"/>
      <c s="2464"/>
      <c s="2464"/>
      <c s="211"/>
      <c r="M21" s="86">
        <v>14</v>
      </c>
    </row>
    <row r="22" spans="1:13" ht="21" customHeight="1">
      <c r="A22" s="1686"/>
      <c r="C22" s="99"/>
      <c s="150" t="s">
        <v>1022</v>
      </c>
      <c s="197" t="s">
        <v>1134</v>
      </c>
      <c s="201"/>
      <c s="1740"/>
      <c s="201" t="s">
        <v>306</v>
      </c>
      <c s="154" t="s">
        <v>1135</v>
      </c>
      <c r="M22" s="86">
        <v>20</v>
      </c>
    </row>
    <row r="23" spans="1:13" ht="60" customHeight="1">
      <c r="A23" s="1686"/>
      <c r="C23" s="99"/>
      <c s="150" t="s">
        <v>1024</v>
      </c>
      <c s="197" t="s">
        <v>1136</v>
      </c>
      <c s="201"/>
      <c s="260"/>
      <c s="216"/>
      <c s="261" t="s">
        <v>1137</v>
      </c>
      <c r="M23" s="86">
        <v>57</v>
      </c>
    </row>
    <row r="24" spans="1:13" ht="14.7" customHeight="1">
      <c r="A24" s="1686"/>
      <c s="149">
        <v>3</v>
      </c>
      <c s="99"/>
      <c s="150">
        <v>2</v>
      </c>
      <c s="225" t="str">
        <f>"Форма заявки на заключение договора о подключении (технологическом присоединении) к системе "&amp;TEMPLATE_SPHERE_RUS</f>
        <v>Форма заявки на заключение договора о подключении (технологическом присоединении) к системе водоотведения</v>
      </c>
      <c s="201"/>
      <c s="201" t="s">
        <v>306</v>
      </c>
      <c s="216"/>
      <c s="262" t="s">
        <v>631</v>
      </c>
      <c r="M24" s="86">
        <v>14</v>
      </c>
    </row>
    <row r="25" spans="1:13" ht="48.3" customHeight="1">
      <c r="A25" s="1686"/>
      <c r="C25" s="99"/>
      <c s="150">
        <v>3</v>
      </c>
      <c s="2463" t="str">
        <f>"Перечень документов и сведений, представляемых одновременно "&amp;IF(TEMPLATE_SPHERE="HEAT","с заявкой на заключение","с заявлением о заключении")&amp;" договора о подключении (технологическом присоединении) к системе "&amp;TEMPLATE_SPHERE_RUS&amp;IF(TEMPLATE_SPHERE="HEAT","",",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Федерации"&amp;" о градостроительной деятельности и законодательством Российской Федерации в сфере водоснабжения и водоотведения")</f>
        <v>Перечень документов и сведений, представляемых одновременно с заявлением о заключении договора о подключении (технологическом присоединении) к системе водоотведения,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 о градостроительной деятельности и законодательством Российской Федерации в сфере водоснабжения и водоотведения</v>
      </c>
      <c s="2463"/>
      <c s="2463"/>
      <c s="2463"/>
      <c s="259"/>
      <c r="M25" s="86">
        <v>46</v>
      </c>
    </row>
    <row r="26" spans="1:13" ht="14.7" customHeight="1">
      <c r="A26" s="1686"/>
      <c r="C26" s="99"/>
      <c s="150" t="s">
        <v>324</v>
      </c>
      <c s="202"/>
      <c s="201"/>
      <c s="201" t="s">
        <v>306</v>
      </c>
      <c s="216"/>
      <c s="2172" t="s">
        <v>1138</v>
      </c>
      <c r="M26" s="86">
        <v>14</v>
      </c>
    </row>
    <row r="27" spans="1:13" ht="15.75" customHeight="1">
      <c r="A27" s="1686" t="s">
        <v>109</v>
      </c>
      <c r="C27" s="99"/>
      <c s="112"/>
      <c s="206" t="s">
        <v>322</v>
      </c>
      <c s="207"/>
      <c s="207"/>
      <c s="204"/>
      <c s="2174"/>
      <c r="M27" s="86">
        <v>15</v>
      </c>
    </row>
    <row r="28" spans="1:13" ht="39.75" customHeight="1">
      <c r="A28" s="1686"/>
      <c s="149">
        <v>3</v>
      </c>
      <c s="99"/>
      <c s="150">
        <v>4</v>
      </c>
      <c s="2463" t="str">
        <f>"Реквизиты нормативных правовых актов, регламентирующих порядок действий заявителя и "&amp;IF(TEMPLATE_SPHERE="HEAT","регулируемой ","")&amp;"организации"&amp;IF(TEMPLATE_SPHERE="HEAT",""," "&amp;TEMPLATE_SPHERE_RUS)&amp;" при подаче, приеме, обработке "&amp;IF(TEMPLATE_SPHERE="HEAT","заявки на заключение","заявления о заключении")&amp;" договора о подключении (технологическом присоединении) к системе "&amp;TEMPLATE_SPHERE_RUS&amp;IF(TEMPLATE_SPHERE="HEAT",""," (в том числе в форме электронного документа)")</f>
        <v>Реквизиты нормативных правовых актов, регламентирующих порядок действий заявителя и организации водоотведения при подаче, приеме, обработке заявления о заключении договора о подключении (технологическом присоединении) к системе водоотведения (в том числе в форме электронного документа)</v>
      </c>
      <c s="2463"/>
      <c s="2463"/>
      <c s="2463"/>
      <c s="259"/>
      <c r="M28" s="86">
        <v>38</v>
      </c>
    </row>
    <row r="29" spans="1:13" ht="21" customHeight="1">
      <c r="A29" s="1686"/>
      <c r="C29" s="99"/>
      <c s="150" t="s">
        <v>754</v>
      </c>
      <c s="208" t="s">
        <v>1128</v>
      </c>
      <c s="201"/>
      <c s="260"/>
      <c s="201" t="s">
        <v>306</v>
      </c>
      <c s="2172" t="s">
        <v>1139</v>
      </c>
      <c r="M29" s="86">
        <v>20</v>
      </c>
    </row>
    <row r="30" spans="1:13" ht="15.75" customHeight="1">
      <c r="A30" s="1686" t="s">
        <v>110</v>
      </c>
      <c r="C30" s="99"/>
      <c s="112"/>
      <c s="206" t="s">
        <v>322</v>
      </c>
      <c s="207"/>
      <c s="207"/>
      <c s="204"/>
      <c s="2174"/>
      <c r="M30" s="86">
        <v>15</v>
      </c>
    </row>
    <row r="31" spans="1:13" ht="31.5" customHeight="1">
      <c r="A31" s="1686"/>
      <c s="149">
        <v>3</v>
      </c>
      <c s="99"/>
      <c s="150">
        <v>5</v>
      </c>
      <c s="2463" t="str">
        <f>"Телефоны,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водоотведения</v>
      </c>
      <c s="2463"/>
      <c s="2463"/>
      <c s="2463"/>
      <c s="259"/>
      <c r="M31" s="86">
        <v>30</v>
      </c>
    </row>
    <row r="32" spans="1:13" ht="27.3" customHeight="1">
      <c r="A32" s="1686"/>
      <c r="C32" s="99"/>
      <c s="150" t="s">
        <v>313</v>
      </c>
      <c s="2406" t="str">
        <f>"телефоны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службы, ответственной за прием и обработку заявок на заключение договора о подключении (технологическом присоединении) к системе водоотведения</v>
      </c>
      <c s="2406"/>
      <c s="2406"/>
      <c s="2406"/>
      <c s="259"/>
      <c r="M32" s="86">
        <v>26</v>
      </c>
    </row>
    <row r="33" spans="1:13" ht="14.7" customHeight="1">
      <c r="A33" s="1686"/>
      <c r="C33" s="99"/>
      <c s="150" t="s">
        <v>1140</v>
      </c>
      <c s="209" t="s">
        <v>1129</v>
      </c>
      <c s="201"/>
      <c s="260"/>
      <c s="201" t="s">
        <v>306</v>
      </c>
      <c s="2172" t="s">
        <v>1141</v>
      </c>
      <c r="M33" s="86">
        <v>14</v>
      </c>
    </row>
    <row r="34" spans="1:13" ht="15.75" customHeight="1">
      <c r="A34" s="1686" t="s">
        <v>89</v>
      </c>
      <c r="C34" s="99"/>
      <c s="112"/>
      <c s="207" t="s">
        <v>322</v>
      </c>
      <c s="203"/>
      <c s="203"/>
      <c s="204"/>
      <c s="2174"/>
      <c r="M34" s="86">
        <v>15</v>
      </c>
    </row>
    <row r="35" spans="1:13" ht="25.2" customHeight="1">
      <c r="A35" s="1686"/>
      <c r="C35" s="99"/>
      <c s="150" t="s">
        <v>882</v>
      </c>
      <c s="2406" t="str">
        <f>"адреса службы, ответственной за прием и обработку заявок на заключение договора о подключении (технологическом присоединении) к системе "&amp;TEMPLATE_SPHERE_RUS</f>
        <v>адреса службы, ответственной за прием и обработку заявок на заключение договора о подключении (технологическом присоединении) к системе водоотведения</v>
      </c>
      <c s="2406"/>
      <c s="2406"/>
      <c s="2406"/>
      <c s="259"/>
      <c r="M35" s="86">
        <v>24</v>
      </c>
    </row>
    <row r="36" spans="1:13" ht="14.7" customHeight="1">
      <c r="A36" s="1686"/>
      <c r="C36" s="99"/>
      <c s="150" t="s">
        <v>1142</v>
      </c>
      <c s="209" t="s">
        <v>1130</v>
      </c>
      <c s="201"/>
      <c s="260"/>
      <c s="201" t="s">
        <v>306</v>
      </c>
      <c s="2146" t="s">
        <v>1143</v>
      </c>
      <c r="M36" s="86">
        <v>14</v>
      </c>
    </row>
    <row r="37" spans="1:13" ht="15.75" customHeight="1">
      <c r="A37" s="1686" t="s">
        <v>90</v>
      </c>
      <c r="C37" s="99"/>
      <c s="112"/>
      <c s="207" t="s">
        <v>322</v>
      </c>
      <c s="203"/>
      <c s="203"/>
      <c s="204"/>
      <c s="2146"/>
      <c r="M37" s="86">
        <v>15</v>
      </c>
    </row>
    <row r="38" spans="1:13" ht="27.3" customHeight="1">
      <c r="A38" s="1686"/>
      <c r="C38" s="99"/>
      <c s="150" t="s">
        <v>883</v>
      </c>
      <c s="2406" t="str">
        <f>"график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график работы службы, ответственной за прием и обработку заявок на заключение договора о подключении (технологическом присоединении) к системе водоотведения</v>
      </c>
      <c s="2406"/>
      <c s="2406"/>
      <c s="2406"/>
      <c s="259"/>
      <c r="M38" s="86">
        <v>26</v>
      </c>
    </row>
    <row r="39" spans="1:13" ht="14.7" customHeight="1">
      <c r="A39" s="1686"/>
      <c r="C39" s="99"/>
      <c s="150" t="s">
        <v>884</v>
      </c>
      <c s="209" t="s">
        <v>1131</v>
      </c>
      <c s="201"/>
      <c s="210"/>
      <c s="201" t="s">
        <v>306</v>
      </c>
      <c s="2172" t="s">
        <v>1144</v>
      </c>
      <c r="L39" s="158" t="s">
        <v>1132</v>
      </c>
      <c s="86">
        <v>14</v>
      </c>
    </row>
    <row r="40" spans="1:13" ht="15.75" customHeight="1">
      <c r="A40" s="1686" t="s">
        <v>111</v>
      </c>
      <c r="C40" s="99"/>
      <c s="112"/>
      <c s="207" t="s">
        <v>322</v>
      </c>
      <c s="203"/>
      <c s="203"/>
      <c s="204"/>
      <c s="2174"/>
      <c r="M40" s="86">
        <v>15</v>
      </c>
    </row>
    <row r="41" spans="1:13" s="1826" customFormat="1" ht="3" customHeight="1">
      <c r="A41" s="1686"/>
      <c r="K41" s="199"/>
      <c s="199"/>
      <c s="143">
        <v>3</v>
      </c>
    </row>
    <row r="42" spans="4:13" ht="26.25" customHeight="1">
      <c r="D42" s="1684" t="s">
        <v>804</v>
      </c>
      <c s="2288" t="str">
        <f>"Информация размещается в случае, если организация осуществляет услуги по подключению (технологическому присоединению) к системе "&amp;TEMPLATE_SPHERE_RUS&amp;"."</f>
        <v>Информация размещается в случае, если организация осуществляет услуги по подключению (технологическому присоединению) к системе водоотведения.</v>
      </c>
      <c s="2288"/>
      <c s="2288"/>
      <c s="2288"/>
      <c s="2288"/>
      <c r="M42" s="86">
        <v>25</v>
      </c>
    </row>
    <row r="43" spans="1:13" ht="22.5" customHeight="1" hidden="1">
      <c r="A43" s="1365" t="s">
        <v>81</v>
      </c>
      <c s="149">
        <v>0</v>
      </c>
      <c s="100">
        <v>3</v>
      </c>
      <c s="86">
        <v>6</v>
      </c>
      <c s="86">
        <v>63</v>
      </c>
      <c s="86">
        <v>0</v>
      </c>
      <c s="86">
        <v>35</v>
      </c>
      <c s="86">
        <v>35</v>
      </c>
      <c s="86">
        <v>91</v>
      </c>
      <c s="86">
        <v>68</v>
      </c>
      <c s="158">
        <v>10</v>
      </c>
      <c s="158">
        <v>10</v>
      </c>
      <c s="86">
        <v>23</v>
      </c>
    </row>
  </sheetData>
  <sheetProtection formatColumns="0" formatRows="0" insertRows="0" deleteColumns="0" deleteRows="0" sort="0" autoFilter="0"/>
  <mergeCells count="17">
    <mergeCell ref="I29:I30"/>
    <mergeCell ref="E31:H31"/>
    <mergeCell ref="D14:H14"/>
    <mergeCell ref="D18:H18"/>
    <mergeCell ref="I18:I19"/>
    <mergeCell ref="E21:H21"/>
    <mergeCell ref="E25:H25"/>
    <mergeCell ref="I26:I27"/>
    <mergeCell ref="E28:H28"/>
    <mergeCell ref="D15:H15"/>
    <mergeCell ref="E42:I42"/>
    <mergeCell ref="E32:H32"/>
    <mergeCell ref="E35:H35"/>
    <mergeCell ref="E38:H38"/>
    <mergeCell ref="I33:I34"/>
    <mergeCell ref="I36:I37"/>
    <mergeCell ref="I39:I40"/>
  </mergeCells>
  <dataValidations count="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2"/>
    <dataValidation type="list" allowBlank="1" showDropDown="1" showInputMessage="1" showErrorMessage="1" prompt="Для выбора выполните двойной щелчок левой клавиши мыши по соответствующей ячейке." error="для выбора выполните двойной щелчок по ячейке" sqref="G10 G39">
      <formula1>"a"</formula1>
    </dataValidation>
    <dataValidation type="textLength" operator="lessThanOrEqual" allowBlank="1" showInputMessage="1" showErrorMessage="1" prompt="Введите ссылку на обосновывающие материалы, загруженные с помощью &quot;ЕИАС Web&quot;." errorTitle="Ошибка" error="Допускается ввод не более 900 символов!" sqref="H2 H26 H23:H24">
      <formula1>900</formula1>
    </dataValidation>
    <dataValidation type="textLength" operator="lessThanOrEqual" allowBlank="1" showInputMessage="1" showErrorMessage="1" errorTitle="Ошибка" error="Допускается ввод не более 900 символов!" sqref="E2 I23:I24 I33 G36 I39 I26 E29 G33 E36 I29 E33 I36 G23 E26 I10 E23 G29 E10 G8 I2 I4 G4 E4 E6 I6 G6 E8 I8 E39">
      <formula1>900</formula1>
    </dataValidation>
  </dataValidations>
  <pageMargins left="0.7" right="0.7" top="0.75" bottom="0.75" header="0.3" footer="0.3"/>
  <pageSetup orientation="portrait"/>
  <drawing r:id="rId1"/>
</worksheet>
</file>

<file path=xl/worksheets/sheet4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m="http://schemas.microsoft.com/office/excel/2006/main" xmlns:x14ac="http://schemas.microsoft.com/office/spreadsheetml/2009/9/ac" xmlns:xr="http://schemas.microsoft.com/office/spreadsheetml/2014/revision" xmlns:xr2="http://schemas.microsoft.com/office/spreadsheetml/2015/revision2" xmlns:xr3="http://schemas.microsoft.com/office/spreadsheetml/2016/revision3" xr:uid="{EF2070C1-AD27-FC89-653A-CFB23306361A}" mc:Ignorable="x14ac xr xr2 xr3">
  <sheetPr>
    <tabColor theme="6" tint="0.400000005960464"/>
  </sheetPr>
  <dimension ref="A1:AH332"/>
  <sheetViews>
    <sheetView showGridLines="0" zoomScale="90" zoomScaleNormal="90" workbookViewId="0" topLeftCell="A1">
      <pane xSplit="7" ySplit="21" topLeftCell="H22" activePane="bottomRight" state="frozen"/>
      <selection pane="topLeft" activeCell="A1" sqref="A1"/>
      <selection pane="bottomLeft" activeCell="A22" sqref="A22"/>
      <selection pane="topRight" activeCell="H1" sqref="H1"/>
      <selection pane="bottomRight" activeCell="A1" sqref="A1"/>
    </sheetView>
  </sheetViews>
  <sheetFormatPr defaultColWidth="10.5742857142857" defaultRowHeight="14.25" customHeight="1"/>
  <cols>
    <col min="1" max="2" width="25.1428571428571" style="1782" hidden="1" customWidth="1"/>
    <col min="3" max="3" width="9.14285714285714" style="1690" hidden="1" customWidth="1"/>
    <col min="4" max="4" width="3" style="347" customWidth="1"/>
    <col min="5" max="5" width="6" style="1638" customWidth="1"/>
    <col min="6" max="6" width="46.7142857142857" style="1638" customWidth="1"/>
    <col min="7" max="7" width="35" style="1638" customWidth="1"/>
    <col min="8" max="8" width="3" style="1638" customWidth="1"/>
    <col min="9" max="10" width="11" style="1638" customWidth="1"/>
    <col min="11" max="12" width="35" style="1638" customWidth="1"/>
    <col min="13" max="13" width="84" style="1638" customWidth="1"/>
    <col min="14" max="14" width="10" style="1638" customWidth="1"/>
    <col min="15" max="16" width="10" style="1627" customWidth="1"/>
    <col min="17" max="33" width="10" style="1638" customWidth="1"/>
    <col min="34" max="34" width="10.5714285714286" style="1638" hidden="1"/>
  </cols>
  <sheetData>
    <row r="1" spans="1:34" s="1638" customFormat="1" ht="22.5" customHeight="1" hidden="1">
      <c r="A1" s="1782"/>
      <c s="1782"/>
      <c s="372"/>
      <c s="347"/>
      <c r="N1" s="1639">
        <f>IFERROR(MATCH("метод экономически обоснованных расходов (затрат)",OFFER_METHOD,0),0)</f>
        <v>0</v>
      </c>
      <c s="1627"/>
      <c s="1627"/>
      <c r="T1" s="834"/>
      <c r="AG1" s="258"/>
      <c s="1634" t="s">
        <v>14</v>
      </c>
    </row>
    <row r="2" spans="1:34" s="1638" customFormat="1" ht="18.75" customHeight="1" hidden="1">
      <c r="A2" s="1783" t="s">
        <v>157</v>
      </c>
      <c s="1783" t="s">
        <v>158</v>
      </c>
      <c s="372"/>
      <c s="347"/>
      <c s="1034"/>
      <c s="1034"/>
      <c s="2430" t="str">
        <f>INDEX(PT_DIFFERENTIATION_NTAR,MATCH(B2,PT_DIFFERENTIATION_NTAR_ID,0))</f>
        <v/>
      </c>
      <c s="1867"/>
      <c s="1742"/>
      <c s="1776"/>
      <c s="1868"/>
      <c s="1867" t="s">
        <v>306</v>
      </c>
      <c s="1878"/>
      <c s="337"/>
      <c s="1627"/>
      <c s="1627"/>
      <c r="AH2" s="1634">
        <v>0</v>
      </c>
    </row>
    <row r="3" spans="1:34" s="1638" customFormat="1" ht="18.75" customHeight="1" hidden="1">
      <c r="A3" s="1783"/>
      <c s="1783"/>
      <c s="372" t="s">
        <v>1145</v>
      </c>
      <c s="347"/>
      <c s="1034"/>
      <c s="1034"/>
      <c s="2430"/>
      <c s="1503"/>
      <c s="654" t="s">
        <v>1146</v>
      </c>
      <c s="574"/>
      <c s="1503"/>
      <c s="217"/>
      <c s="1878"/>
      <c s="337"/>
      <c s="1627"/>
      <c s="1627"/>
      <c r="AH3" s="1634">
        <v>0</v>
      </c>
    </row>
    <row r="4" spans="1:34" s="1638" customFormat="1" ht="14.25" customHeight="1" hidden="1">
      <c r="A4" s="1782"/>
      <c s="1782"/>
      <c s="372"/>
      <c s="347"/>
      <c r="N4" s="1639">
        <f>IFERROR(MATCH("метод экономически обоснованных расходов (затрат)",OFFER_METHOD,0),0)</f>
        <v>0</v>
      </c>
      <c s="1627"/>
      <c s="1627"/>
      <c r="T4" s="834"/>
      <c r="AG4" s="258"/>
      <c s="1634">
        <v>0</v>
      </c>
    </row>
    <row r="5" spans="1:34" s="1638" customFormat="1" ht="18.75" customHeight="1" hidden="1">
      <c r="A5" s="1783" t="s">
        <v>157</v>
      </c>
      <c s="1783" t="s">
        <v>158</v>
      </c>
      <c s="372"/>
      <c s="347"/>
      <c s="1034"/>
      <c s="1034"/>
      <c s="2430" t="str">
        <f>INDEX(PT_DIFFERENTIATION_NTAR,MATCH(B5,PT_DIFFERENTIATION_NTAR_ID,0))</f>
        <v/>
      </c>
      <c s="1867"/>
      <c s="1742"/>
      <c s="1776"/>
      <c s="1781"/>
      <c s="1867" t="s">
        <v>306</v>
      </c>
      <c s="1878"/>
      <c s="337"/>
      <c s="1627"/>
      <c s="1627"/>
      <c r="AH5" s="1634">
        <v>0</v>
      </c>
    </row>
    <row r="6" spans="1:34" s="1638" customFormat="1" ht="18.75" customHeight="1" hidden="1">
      <c r="A6" s="1783"/>
      <c s="1783"/>
      <c s="372" t="s">
        <v>1147</v>
      </c>
      <c s="347"/>
      <c s="1034"/>
      <c s="1034"/>
      <c s="2430"/>
      <c s="1503"/>
      <c s="654" t="s">
        <v>1146</v>
      </c>
      <c s="574"/>
      <c s="1503"/>
      <c s="217"/>
      <c s="1878"/>
      <c s="337"/>
      <c s="1627"/>
      <c s="1627"/>
      <c r="AH6" s="1634">
        <v>0</v>
      </c>
    </row>
    <row r="7" spans="1:34" s="1638" customFormat="1" ht="14.25" customHeight="1" hidden="1">
      <c r="A7" s="1782"/>
      <c s="1782"/>
      <c s="372"/>
      <c s="347"/>
      <c r="N7" s="1639">
        <f>IFERROR(MATCH("метод экономически обоснованных расходов (затрат)",OFFER_METHOD,0),0)</f>
        <v>0</v>
      </c>
      <c s="1627"/>
      <c s="1627"/>
      <c r="T7" s="834"/>
      <c r="AG7" s="258"/>
      <c s="1634">
        <v>0</v>
      </c>
    </row>
    <row r="8" spans="1:34" s="1638" customFormat="1" ht="56.25" customHeight="1" hidden="1">
      <c r="A8" s="1783"/>
      <c s="1783"/>
      <c s="372"/>
      <c s="347"/>
      <c s="1034"/>
      <c s="1034"/>
      <c s="1034"/>
      <c s="1774"/>
      <c s="1742"/>
      <c s="1776"/>
      <c s="1868"/>
      <c s="1774" t="s">
        <v>306</v>
      </c>
      <c s="1878"/>
      <c s="337"/>
      <c s="1627"/>
      <c s="1627"/>
      <c r="AH8" s="1634">
        <v>0</v>
      </c>
    </row>
    <row r="9" spans="20:34" ht="14.25" customHeight="1" hidden="1">
      <c r="T9" s="400"/>
      <c r="AG9" s="258"/>
      <c s="377">
        <v>0</v>
      </c>
    </row>
    <row r="10" spans="1:34" s="1638" customFormat="1" ht="56.25" customHeight="1" hidden="1">
      <c r="A10" s="1783"/>
      <c s="1783"/>
      <c s="372"/>
      <c s="347"/>
      <c s="1034"/>
      <c s="1034"/>
      <c s="1034"/>
      <c s="1773"/>
      <c s="1742"/>
      <c s="1776"/>
      <c s="1781"/>
      <c s="1774" t="s">
        <v>306</v>
      </c>
      <c s="1878"/>
      <c s="337"/>
      <c s="1627"/>
      <c s="1627"/>
      <c r="AH10" s="1634">
        <v>0</v>
      </c>
    </row>
    <row r="11" spans="34:34" ht="14.25" customHeight="1" hidden="1">
      <c r="AH11" s="377">
        <v>0</v>
      </c>
    </row>
    <row r="12" spans="34:34" ht="14.25" customHeight="1" hidden="1">
      <c r="AH12" s="377">
        <v>0</v>
      </c>
    </row>
    <row r="13" spans="4:34" ht="6.3" customHeight="1">
      <c r="D13" s="379"/>
      <c s="366"/>
      <c s="366"/>
      <c s="366"/>
      <c s="366"/>
      <c s="366"/>
      <c s="366"/>
      <c s="366"/>
      <c s="88"/>
      <c s="88"/>
      <c r="AH13" s="377">
        <v>6</v>
      </c>
    </row>
    <row r="14" spans="4:34" ht="14.7" customHeight="1">
      <c r="D14" s="379"/>
      <c s="2468" t="str">
        <f>"Форма "&amp;IF(TEMPLATE_SPHERE="HEAT","18","12")&amp;". Информация о предложении "&amp;IF(TEMPLATE_SPHERE="HEAT","регулируемой организации","организации "&amp;TEMPLATE_SPHERE_RUS)&amp;" об установлении "&amp;IF(TEMPLATE_SPHERE="HEAT","цен (тарифов)","тарифов")&amp;" в сфере "&amp;TEMPLATE_SPHERE_RUS&amp;" на очередной"&amp;IF(TEMPLATE_SPHERE="HEAT"," расчетный","")&amp;" период регулирования"</f>
        <v>Форма 12. Информация о предложении организации водоотведения об установлении тарифов в сфере водоотведения на очередной период регулирования</v>
      </c>
      <c s="2468"/>
      <c s="2468"/>
      <c s="2468"/>
      <c s="2468"/>
      <c s="2468"/>
      <c s="2468"/>
      <c s="2468"/>
      <c s="223"/>
      <c r="AH14" s="377">
        <v>14</v>
      </c>
    </row>
    <row r="15" spans="4:34" ht="6.3" customHeight="1">
      <c r="D15" s="379"/>
      <c s="366"/>
      <c s="392"/>
      <c s="392"/>
      <c s="392"/>
      <c s="392"/>
      <c s="392"/>
      <c s="392"/>
      <c s="325"/>
      <c s="196"/>
      <c r="AH15" s="377">
        <v>6</v>
      </c>
    </row>
    <row r="16" spans="4:34" ht="24" customHeight="1">
      <c r="D16" s="379"/>
      <c s="366"/>
      <c s="308" t="str">
        <f>"Дата подачи заявления об "&amp;IF(TITLE_DATE_PR_CHANGE="","утверждении","изменении")&amp;" тарифов"</f>
        <v>Дата подачи заявления об утверждении тарифов</v>
      </c>
      <c s="2267" t="str">
        <f>IF(TITLE_DATE_PR_CHANGE="",IF(TITLE_DATE_PR="","",TITLE_DATE_PR),TITLE_DATE_PR_CHANGE)</f>
        <v/>
      </c>
      <c s="2267"/>
      <c s="2267"/>
      <c s="2267"/>
      <c s="2267"/>
      <c s="2267"/>
      <c s="401"/>
      <c s="329"/>
      <c r="AH16" s="377">
        <v>23</v>
      </c>
    </row>
    <row r="17" spans="4:34" ht="24" customHeight="1">
      <c r="D17" s="379"/>
      <c s="366"/>
      <c s="308" t="str">
        <f>"Номер подачи заявления об "&amp;IF(TITLE_DATE_PR_CHANGE="","утверждении","изменении")&amp;" тарифов"</f>
        <v>Номер подачи заявления об утверждении тарифов</v>
      </c>
      <c s="2254" t="str">
        <f>IF(TITLE_NUMBER_PR_CHANGE="",IF(TITLE_NUMBER_PR="","",TITLE_NUMBER_PR),TITLE_NUMBER_PR_CHANGE)</f>
        <v/>
      </c>
      <c s="2254"/>
      <c s="2254"/>
      <c s="2254"/>
      <c s="2254"/>
      <c s="2254"/>
      <c s="401"/>
      <c s="329"/>
      <c r="AH17" s="377">
        <v>23</v>
      </c>
    </row>
    <row r="18" spans="4:34" ht="14.7" customHeight="1">
      <c r="D18" s="379"/>
      <c s="366"/>
      <c s="392"/>
      <c s="392"/>
      <c s="392"/>
      <c s="392"/>
      <c s="392"/>
      <c s="392"/>
      <c s="755"/>
      <c s="196"/>
      <c r="AH18" s="377">
        <v>14</v>
      </c>
    </row>
    <row r="19" spans="4:34" ht="22.05" customHeight="1">
      <c r="D19" s="379"/>
      <c s="2212" t="s">
        <v>300</v>
      </c>
      <c s="2212"/>
      <c s="2212"/>
      <c s="2212"/>
      <c s="2212"/>
      <c s="2212"/>
      <c s="2212"/>
      <c s="2212"/>
      <c s="2392" t="s">
        <v>301</v>
      </c>
      <c r="AH19" s="377">
        <v>21</v>
      </c>
    </row>
    <row r="20" spans="4:34" ht="22.05" customHeight="1">
      <c r="D20" s="379"/>
      <c s="2280" t="s">
        <v>87</v>
      </c>
      <c s="2227" t="s">
        <v>124</v>
      </c>
      <c s="2227" t="s">
        <v>125</v>
      </c>
      <c s="2389" t="s">
        <v>1148</v>
      </c>
      <c s="2390"/>
      <c s="2436"/>
      <c s="2227" t="s">
        <v>303</v>
      </c>
      <c s="2227" t="s">
        <v>390</v>
      </c>
      <c s="2392"/>
      <c r="AH20" s="377">
        <v>21</v>
      </c>
    </row>
    <row r="21" spans="4:34" ht="22.05" customHeight="1">
      <c r="D21" s="379"/>
      <c s="2282"/>
      <c s="2228"/>
      <c s="2228"/>
      <c s="2221" t="s">
        <v>1149</v>
      </c>
      <c s="2223"/>
      <c s="111" t="s">
        <v>1150</v>
      </c>
      <c s="2228"/>
      <c s="2228"/>
      <c s="2392"/>
      <c r="AH21" s="377">
        <v>21</v>
      </c>
    </row>
    <row r="22" spans="4:34" ht="12.75" customHeight="1">
      <c r="D22" s="379"/>
      <c s="284"/>
      <c s="284"/>
      <c s="284"/>
      <c s="2470"/>
      <c s="2470"/>
      <c s="284"/>
      <c s="284"/>
      <c s="284"/>
      <c s="284"/>
      <c r="AH22" s="377">
        <v>12</v>
      </c>
    </row>
    <row r="23" spans="1:34" ht="19.95" customHeight="1">
      <c r="A23" s="1783"/>
      <c s="1783"/>
      <c r="D23" s="379"/>
      <c s="1869" t="s">
        <v>109</v>
      </c>
      <c s="2471" t="str">
        <f>"Предлагаемый метод регулирования"&amp;IF(TEMPLATE_SPHERE="HEAT"," в сфере "&amp;TEMPLATE_SPHERE_RUS,"")</f>
        <v>Предлагаемый метод регулирования</v>
      </c>
      <c s="2472"/>
      <c s="2464"/>
      <c s="2464"/>
      <c s="2464"/>
      <c s="2472" t="s">
        <v>306</v>
      </c>
      <c s="2464"/>
      <c s="1772"/>
      <c s="337"/>
      <c r="AH23" s="377">
        <v>19</v>
      </c>
    </row>
    <row r="24" spans="1:34" ht="60.75" customHeight="1" hidden="1">
      <c r="A24" s="1783" t="s">
        <v>157</v>
      </c>
      <c s="1783" t="s">
        <v>158</v>
      </c>
      <c r="D24" s="2469"/>
      <c s="2207"/>
      <c s="2473" t="str">
        <f>INDEX(PT_DIFFERENTIATION_VTAR,MATCH(A24,PT_DIFFERENTIATION_VTAR_ID,0))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s="2430" t="str">
        <f>INDEX(PT_DIFFERENTIATION_NTAR,MATCH(B24,PT_DIFFERENTIATION_NTAR_ID,0))</f>
        <v/>
      </c>
      <c s="1865"/>
      <c s="1742"/>
      <c s="1776"/>
      <c s="1868"/>
      <c s="1771" t="s">
        <v>306</v>
      </c>
      <c s="2172"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"&amp;"Значение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"&amp;"Даты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f>
        <v>Значение в колонке «Вид тарифа» выбирается из перечня видов тарифов в сфере водоотведения, предусмотренных законодательством в сфере водоснабжения и водоотведения.
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v>
      </c>
      <c s="337"/>
      <c r="AH24" s="377">
        <v>0</v>
      </c>
    </row>
    <row r="25" spans="1:34" s="1638" customFormat="1" ht="18.75" customHeight="1" hidden="1">
      <c r="A25" s="1783"/>
      <c s="1783"/>
      <c s="372" t="s">
        <v>1145</v>
      </c>
      <c s="2469"/>
      <c s="2207"/>
      <c s="2473"/>
      <c s="2430"/>
      <c s="1503"/>
      <c s="654" t="s">
        <v>1146</v>
      </c>
      <c s="574"/>
      <c s="1503"/>
      <c s="217"/>
      <c s="2173"/>
      <c s="337"/>
      <c s="1627"/>
      <c s="1627"/>
      <c r="AH25" s="1634">
        <v>0</v>
      </c>
    </row>
    <row r="26" spans="1:34" ht="0.75" customHeight="1" hidden="1">
      <c r="A26" s="1783"/>
      <c s="1783"/>
      <c s="372" t="s">
        <v>1151</v>
      </c>
      <c s="2469"/>
      <c s="2207"/>
      <c s="2386"/>
      <c s="403"/>
      <c s="1503"/>
      <c s="398"/>
      <c s="352"/>
      <c s="1503"/>
      <c s="204"/>
      <c s="2173"/>
      <c s="337"/>
      <c r="AH26" s="377">
        <v>0</v>
      </c>
    </row>
    <row r="27" spans="1:34" s="1638" customFormat="1" ht="45" customHeight="1" hidden="1">
      <c r="A27" s="1783" t="s">
        <v>162</v>
      </c>
      <c s="1783" t="s">
        <v>163</v>
      </c>
      <c s="372"/>
      <c s="2465"/>
      <c s="2466"/>
      <c s="2467" t="str">
        <f>INDEX(PT_DIFFERENTIATION_VTAR,MATCH(A27,PT_DIFFERENTIATION_VTAR_ID,0))</f>
        <v/>
      </c>
      <c s="2430" t="str">
        <f>INDEX(PT_DIFFERENTIATION_NTAR,MATCH(B27,PT_DIFFERENTIATION_NTAR_ID,0))</f>
        <v/>
      </c>
      <c s="1865"/>
      <c s="1742"/>
      <c s="1776"/>
      <c s="1868"/>
      <c s="1865" t="s">
        <v>306</v>
      </c>
      <c s="2173"/>
      <c s="337"/>
      <c s="1627"/>
      <c s="1627"/>
      <c r="AH27" s="1634">
        <v>0</v>
      </c>
    </row>
    <row r="28" spans="1:34" s="1638" customFormat="1" ht="18.75" customHeight="1" hidden="1">
      <c r="A28" s="1783"/>
      <c s="1783"/>
      <c s="372" t="s">
        <v>1145</v>
      </c>
      <c s="2465"/>
      <c s="2466"/>
      <c s="2467"/>
      <c s="2430"/>
      <c s="1503"/>
      <c s="654" t="s">
        <v>1146</v>
      </c>
      <c s="574"/>
      <c s="1503"/>
      <c s="217"/>
      <c s="2173"/>
      <c s="337"/>
      <c s="1627"/>
      <c s="1627"/>
      <c r="AH28" s="1634">
        <v>0</v>
      </c>
    </row>
    <row r="29" spans="1:34" s="1638" customFormat="1" ht="0.75" customHeight="1" hidden="1">
      <c r="A29" s="1783"/>
      <c s="1783"/>
      <c s="372" t="s">
        <v>1151</v>
      </c>
      <c s="2465"/>
      <c s="2207"/>
      <c s="2386"/>
      <c s="403"/>
      <c s="1503"/>
      <c s="654"/>
      <c s="574"/>
      <c s="1503"/>
      <c s="217"/>
      <c s="2173"/>
      <c s="337"/>
      <c s="1627"/>
      <c s="1627"/>
      <c r="AH29" s="1634">
        <v>0</v>
      </c>
    </row>
    <row r="30" spans="1:34" s="1638" customFormat="1" ht="45" customHeight="1" hidden="1">
      <c r="A30" s="1783" t="s">
        <v>169</v>
      </c>
      <c s="1783" t="s">
        <v>170</v>
      </c>
      <c s="372"/>
      <c s="2465"/>
      <c s="2207"/>
      <c s="2386" t="str">
        <f>INDEX(PT_DIFFERENTIATION_VTAR,MATCH(A30,PT_DIFFERENTIATION_VTAR_ID,0))</f>
        <v>Тарифы на теплоноситель, поставляемый теплоснабжающими организациями потребителям, другим теплоснабжающим организациям</v>
      </c>
      <c s="2430" t="str">
        <f>INDEX(PT_DIFFERENTIATION_NTAR,MATCH(B30,PT_DIFFERENTIATION_NTAR_ID,0))</f>
        <v/>
      </c>
      <c s="1865"/>
      <c s="1742"/>
      <c s="1776"/>
      <c s="1868"/>
      <c s="1865" t="s">
        <v>306</v>
      </c>
      <c s="2173"/>
      <c s="337"/>
      <c s="1627"/>
      <c s="1627"/>
      <c r="AH30" s="1634">
        <v>0</v>
      </c>
    </row>
    <row r="31" spans="1:34" s="1638" customFormat="1" ht="18.75" customHeight="1" hidden="1">
      <c r="A31" s="1783"/>
      <c s="1783"/>
      <c s="372" t="s">
        <v>1145</v>
      </c>
      <c s="2465"/>
      <c s="2207"/>
      <c s="2386"/>
      <c s="2430"/>
      <c s="1503"/>
      <c s="654" t="s">
        <v>1146</v>
      </c>
      <c s="574"/>
      <c s="1503"/>
      <c s="217"/>
      <c s="2173"/>
      <c s="337"/>
      <c s="1627"/>
      <c s="1627"/>
      <c r="AH31" s="1634">
        <v>0</v>
      </c>
    </row>
    <row r="32" spans="1:34" s="1638" customFormat="1" ht="0.75" customHeight="1" hidden="1">
      <c r="A32" s="1783"/>
      <c s="1783"/>
      <c s="372" t="s">
        <v>1151</v>
      </c>
      <c s="2465"/>
      <c s="2207"/>
      <c s="2386"/>
      <c s="403"/>
      <c s="1503"/>
      <c s="654"/>
      <c s="574"/>
      <c s="1503"/>
      <c s="217"/>
      <c s="2173"/>
      <c s="337"/>
      <c s="1627"/>
      <c s="1627"/>
      <c r="AH32" s="1634">
        <v>0</v>
      </c>
    </row>
    <row r="33" spans="1:34" s="1638" customFormat="1" ht="45" customHeight="1" hidden="1">
      <c r="A33" s="1783" t="s">
        <v>175</v>
      </c>
      <c s="1783" t="s">
        <v>176</v>
      </c>
      <c s="372"/>
      <c s="2465"/>
      <c s="2207"/>
      <c s="2386" t="str">
        <f>INDEX(PT_DIFFERENTIATION_VTAR,MATCH(A33,PT_DIFFERENTIATION_VTAR_ID,0))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s="2430" t="str">
        <f>INDEX(PT_DIFFERENTIATION_NTAR,MATCH(B33,PT_DIFFERENTIATION_NTAR_ID,0))</f>
        <v/>
      </c>
      <c s="1865"/>
      <c s="1742"/>
      <c s="1776"/>
      <c s="1868"/>
      <c s="1865" t="s">
        <v>306</v>
      </c>
      <c s="2173"/>
      <c s="337"/>
      <c s="1627"/>
      <c s="1627"/>
      <c r="AH33" s="1634">
        <v>0</v>
      </c>
    </row>
    <row r="34" spans="1:34" s="1638" customFormat="1" ht="18.75" customHeight="1" hidden="1">
      <c r="A34" s="1783"/>
      <c s="1783"/>
      <c s="372" t="s">
        <v>1145</v>
      </c>
      <c s="2465"/>
      <c s="2207"/>
      <c s="2386"/>
      <c s="2430"/>
      <c s="1503"/>
      <c s="654" t="s">
        <v>1146</v>
      </c>
      <c s="574"/>
      <c s="1503"/>
      <c s="217"/>
      <c s="2173"/>
      <c s="337"/>
      <c s="1627"/>
      <c s="1627"/>
      <c r="AH34" s="1634">
        <v>0</v>
      </c>
    </row>
    <row r="35" spans="1:34" s="1638" customFormat="1" ht="0.75" customHeight="1" hidden="1">
      <c r="A35" s="1783"/>
      <c s="1783"/>
      <c s="372" t="s">
        <v>1151</v>
      </c>
      <c s="2465"/>
      <c s="2207"/>
      <c s="2386"/>
      <c s="403"/>
      <c s="1503"/>
      <c s="654"/>
      <c s="574"/>
      <c s="1503"/>
      <c s="217"/>
      <c s="2173"/>
      <c s="337"/>
      <c s="1627"/>
      <c s="1627"/>
      <c r="AH35" s="1634">
        <v>0</v>
      </c>
    </row>
    <row r="36" spans="1:34" s="1638" customFormat="1" ht="18.75" customHeight="1" hidden="1">
      <c r="A36" s="1783" t="s">
        <v>181</v>
      </c>
      <c s="1783" t="s">
        <v>182</v>
      </c>
      <c s="372"/>
      <c s="2465"/>
      <c s="2207"/>
      <c s="2386" t="str">
        <f>INDEX(PT_DIFFERENTIATION_VTAR,MATCH(A36,PT_DIFFERENTIATION_VTAR_ID,0))</f>
        <v>Тарифы на услуги по передаче тепловой энергии</v>
      </c>
      <c s="2430" t="str">
        <f>INDEX(PT_DIFFERENTIATION_NTAR,MATCH(B36,PT_DIFFERENTIATION_NTAR_ID,0))</f>
        <v/>
      </c>
      <c s="1865"/>
      <c s="1742"/>
      <c s="1776"/>
      <c s="1868"/>
      <c s="1865" t="s">
        <v>306</v>
      </c>
      <c s="2173"/>
      <c s="337"/>
      <c s="1627"/>
      <c s="1627"/>
      <c r="AH36" s="1634">
        <v>0</v>
      </c>
    </row>
    <row r="37" spans="1:34" s="1638" customFormat="1" ht="18.75" customHeight="1" hidden="1">
      <c r="A37" s="1783"/>
      <c s="1783"/>
      <c s="372" t="s">
        <v>1145</v>
      </c>
      <c s="2465"/>
      <c s="2207"/>
      <c s="2386"/>
      <c s="2430"/>
      <c s="1503"/>
      <c s="654" t="s">
        <v>1146</v>
      </c>
      <c s="574"/>
      <c s="1503"/>
      <c s="217"/>
      <c s="2173"/>
      <c s="337"/>
      <c s="1627"/>
      <c s="1627"/>
      <c r="AH37" s="1634">
        <v>0</v>
      </c>
    </row>
    <row r="38" spans="1:34" s="1638" customFormat="1" ht="0.75" customHeight="1" hidden="1">
      <c r="A38" s="1783"/>
      <c s="1783"/>
      <c s="372" t="s">
        <v>1151</v>
      </c>
      <c s="2465"/>
      <c s="2207"/>
      <c s="2386"/>
      <c s="403"/>
      <c s="1503"/>
      <c s="654"/>
      <c s="574"/>
      <c s="1503"/>
      <c s="217"/>
      <c s="2173"/>
      <c s="337"/>
      <c s="1627"/>
      <c s="1627"/>
      <c r="AH38" s="1634">
        <v>0</v>
      </c>
    </row>
    <row r="39" spans="1:34" s="1638" customFormat="1" ht="18.75" customHeight="1" hidden="1">
      <c r="A39" s="1783" t="s">
        <v>187</v>
      </c>
      <c s="1783" t="s">
        <v>188</v>
      </c>
      <c s="372"/>
      <c s="2465"/>
      <c s="2207"/>
      <c s="2386" t="str">
        <f>INDEX(PT_DIFFERENTIATION_VTAR,MATCH(A39,PT_DIFFERENTIATION_VTAR_ID,0))</f>
        <v>Тарифы на услуги по передаче теплоносителя</v>
      </c>
      <c s="2430" t="str">
        <f>INDEX(PT_DIFFERENTIATION_NTAR,MATCH(B39,PT_DIFFERENTIATION_NTAR_ID,0))</f>
        <v/>
      </c>
      <c s="1865"/>
      <c s="1742"/>
      <c s="1776"/>
      <c s="1868"/>
      <c s="1865" t="s">
        <v>306</v>
      </c>
      <c s="2173"/>
      <c s="337"/>
      <c s="1627"/>
      <c s="1627"/>
      <c r="AH39" s="1634">
        <v>0</v>
      </c>
    </row>
    <row r="40" spans="1:34" s="1638" customFormat="1" ht="18.75" customHeight="1" hidden="1">
      <c r="A40" s="1783"/>
      <c s="1783"/>
      <c s="372" t="s">
        <v>1145</v>
      </c>
      <c s="2465"/>
      <c s="2207"/>
      <c s="2386"/>
      <c s="2430"/>
      <c s="1503"/>
      <c s="654" t="s">
        <v>1146</v>
      </c>
      <c s="574"/>
      <c s="1503"/>
      <c s="217"/>
      <c s="2173"/>
      <c s="337"/>
      <c s="1627"/>
      <c s="1627"/>
      <c r="AH40" s="1634">
        <v>0</v>
      </c>
    </row>
    <row r="41" spans="1:34" s="1638" customFormat="1" ht="0.75" customHeight="1" hidden="1">
      <c r="A41" s="1783"/>
      <c s="1783"/>
      <c s="372" t="s">
        <v>1151</v>
      </c>
      <c s="2465"/>
      <c s="2207"/>
      <c s="2386"/>
      <c s="403"/>
      <c s="1503"/>
      <c s="654"/>
      <c s="574"/>
      <c s="1503"/>
      <c s="217"/>
      <c s="2173"/>
      <c s="337"/>
      <c s="1627"/>
      <c s="1627"/>
      <c r="AH41" s="1634">
        <v>0</v>
      </c>
    </row>
    <row r="42" spans="1:34" s="1638" customFormat="1" ht="18.75" customHeight="1" hidden="1">
      <c r="A42" s="1783" t="s">
        <v>193</v>
      </c>
      <c s="1783" t="s">
        <v>194</v>
      </c>
      <c s="372"/>
      <c s="2465"/>
      <c s="2207"/>
      <c s="2386" t="str">
        <f>INDEX(PT_DIFFERENTIATION_VTAR,MATCH(A42,PT_DIFFERENTIATION_VTAR_ID,0))</f>
        <v>Плата за услуги по поддержанию резервной тепловой мощности при отсутствии потребления тепловой энергии</v>
      </c>
      <c s="2430" t="str">
        <f>INDEX(PT_DIFFERENTIATION_NTAR,MATCH(B42,PT_DIFFERENTIATION_NTAR_ID,0))</f>
        <v/>
      </c>
      <c s="1865"/>
      <c s="1742"/>
      <c s="1776"/>
      <c s="1868"/>
      <c s="1865" t="s">
        <v>306</v>
      </c>
      <c s="2173"/>
      <c s="337"/>
      <c s="1627"/>
      <c s="1627"/>
      <c r="AH42" s="1634">
        <v>0</v>
      </c>
    </row>
    <row r="43" spans="1:34" s="1638" customFormat="1" ht="18.75" customHeight="1" hidden="1">
      <c r="A43" s="1783"/>
      <c s="1783"/>
      <c s="372" t="s">
        <v>1145</v>
      </c>
      <c s="2465"/>
      <c s="2207"/>
      <c s="2386"/>
      <c s="2430"/>
      <c s="1503"/>
      <c s="654" t="s">
        <v>1146</v>
      </c>
      <c s="574"/>
      <c s="1503"/>
      <c s="217"/>
      <c s="2173"/>
      <c s="337"/>
      <c s="1627"/>
      <c s="1627"/>
      <c r="AH43" s="1634">
        <v>0</v>
      </c>
    </row>
    <row r="44" spans="1:34" s="1638" customFormat="1" ht="0.75" customHeight="1" hidden="1">
      <c r="A44" s="1783"/>
      <c s="1783"/>
      <c s="372" t="s">
        <v>1151</v>
      </c>
      <c s="2465"/>
      <c s="2207"/>
      <c s="2386"/>
      <c s="403"/>
      <c s="1503"/>
      <c s="654"/>
      <c s="574"/>
      <c s="1503"/>
      <c s="217"/>
      <c s="2173"/>
      <c s="337"/>
      <c s="1627"/>
      <c s="1627"/>
      <c r="AH44" s="1634">
        <v>0</v>
      </c>
    </row>
    <row r="45" spans="1:34" s="1638" customFormat="1" ht="18.75" customHeight="1" hidden="1">
      <c r="A45" s="1783" t="s">
        <v>199</v>
      </c>
      <c s="1783" t="s">
        <v>200</v>
      </c>
      <c s="372"/>
      <c s="2465"/>
      <c s="2207"/>
      <c s="2386" t="str">
        <f>INDEX(PT_DIFFERENTIATION_VTAR,MATCH(A45,PT_DIFFERENTIATION_VTAR_ID,0))</f>
        <v>Плата за подключение (технологическое присоединение) к системе теплоснабжения</v>
      </c>
      <c s="2430" t="str">
        <f>INDEX(PT_DIFFERENTIATION_NTAR,MATCH(B45,PT_DIFFERENTIATION_NTAR_ID,0))</f>
        <v/>
      </c>
      <c s="1865"/>
      <c s="1742"/>
      <c s="1776"/>
      <c s="1868"/>
      <c s="1865" t="s">
        <v>306</v>
      </c>
      <c s="2173"/>
      <c s="337"/>
      <c s="1627"/>
      <c s="1627"/>
      <c r="AH45" s="1634">
        <v>0</v>
      </c>
    </row>
    <row r="46" spans="1:34" s="1638" customFormat="1" ht="18.75" customHeight="1" hidden="1">
      <c r="A46" s="1783"/>
      <c s="1783"/>
      <c s="372" t="s">
        <v>1145</v>
      </c>
      <c s="2465"/>
      <c s="2207"/>
      <c s="2386"/>
      <c s="2430"/>
      <c s="1503"/>
      <c s="654" t="s">
        <v>1146</v>
      </c>
      <c s="574"/>
      <c s="1503"/>
      <c s="217"/>
      <c s="2173"/>
      <c s="337"/>
      <c s="1627"/>
      <c s="1627"/>
      <c r="AH46" s="1634">
        <v>0</v>
      </c>
    </row>
    <row r="47" spans="1:34" s="1638" customFormat="1" ht="0.75" customHeight="1" hidden="1">
      <c r="A47" s="1783"/>
      <c s="1783"/>
      <c s="372" t="s">
        <v>1151</v>
      </c>
      <c s="2465"/>
      <c s="2207"/>
      <c s="2386"/>
      <c s="403"/>
      <c s="1503"/>
      <c s="654"/>
      <c s="574"/>
      <c s="1503"/>
      <c s="217"/>
      <c s="2173"/>
      <c s="337"/>
      <c s="1627"/>
      <c s="1627"/>
      <c r="AH47" s="1634">
        <v>0</v>
      </c>
    </row>
    <row r="48" spans="1:34" s="1638" customFormat="1" ht="18.75" customHeight="1" hidden="1">
      <c r="A48" s="1783" t="s">
        <v>205</v>
      </c>
      <c s="1783" t="s">
        <v>206</v>
      </c>
      <c s="372"/>
      <c s="2465"/>
      <c s="2207"/>
      <c s="2386" t="str">
        <f>INDEX(PT_DIFFERENTIATION_VTAR,MATCH(A48,PT_DIFFERENTIATION_VTAR_ID,0))</f>
        <v>Плата за подключение (технологическое присоединение) к системе теплоснабжения (индивидуальная)</v>
      </c>
      <c s="2430" t="str">
        <f>INDEX(PT_DIFFERENTIATION_NTAR,MATCH(B48,PT_DIFFERENTIATION_NTAR_ID,0))</f>
        <v/>
      </c>
      <c s="1992"/>
      <c s="1742"/>
      <c s="1776"/>
      <c s="1868"/>
      <c s="1992" t="s">
        <v>306</v>
      </c>
      <c s="2173"/>
      <c s="337"/>
      <c s="1627"/>
      <c s="1627"/>
      <c r="AH48" s="1634">
        <v>0</v>
      </c>
    </row>
    <row r="49" spans="1:34" s="1638" customFormat="1" ht="18.75" customHeight="1" hidden="1">
      <c r="A49" s="1783"/>
      <c s="1783"/>
      <c s="372" t="s">
        <v>1145</v>
      </c>
      <c s="2465"/>
      <c s="2207"/>
      <c s="2386"/>
      <c s="2430"/>
      <c s="1503"/>
      <c s="654" t="s">
        <v>1146</v>
      </c>
      <c s="574"/>
      <c s="1503"/>
      <c s="217"/>
      <c s="2173"/>
      <c s="337"/>
      <c s="1627"/>
      <c s="1627"/>
      <c r="AH49" s="1634">
        <v>0</v>
      </c>
    </row>
    <row r="50" spans="1:34" s="1638" customFormat="1" ht="0.75" customHeight="1" hidden="1">
      <c r="A50" s="1783"/>
      <c s="1783"/>
      <c s="372" t="s">
        <v>1151</v>
      </c>
      <c s="2465"/>
      <c s="2207"/>
      <c s="2386"/>
      <c s="403"/>
      <c s="1503"/>
      <c s="654"/>
      <c s="574"/>
      <c s="1503"/>
      <c s="217"/>
      <c s="2173"/>
      <c s="337"/>
      <c s="1627"/>
      <c s="1627"/>
      <c r="AH50" s="1634">
        <v>0</v>
      </c>
    </row>
    <row r="51" spans="1:34" s="1638" customFormat="1" ht="18.75" customHeight="1" hidden="1">
      <c r="A51" s="1783" t="s">
        <v>225</v>
      </c>
      <c s="1783" t="s">
        <v>226</v>
      </c>
      <c s="372"/>
      <c s="2465"/>
      <c s="2207"/>
      <c s="2386" t="str">
        <f>INDEX(PT_DIFFERENTIATION_VTAR,MATCH(A51,PT_DIFFERENTIATION_VTAR_ID,0))</f>
        <v>Тариф на питьевую воду (питьевое водоснабжение)</v>
      </c>
      <c s="2430" t="str">
        <f>INDEX(PT_DIFFERENTIATION_NTAR,MATCH(B51,PT_DIFFERENTIATION_NTAR_ID,0))</f>
        <v/>
      </c>
      <c s="1865"/>
      <c s="1742"/>
      <c s="1776"/>
      <c s="1868"/>
      <c s="1865" t="s">
        <v>306</v>
      </c>
      <c s="2173"/>
      <c s="337"/>
      <c s="1627"/>
      <c s="1627"/>
      <c r="AH51" s="1634">
        <v>0</v>
      </c>
    </row>
    <row r="52" spans="1:34" s="1638" customFormat="1" ht="18.75" customHeight="1" hidden="1">
      <c r="A52" s="1783"/>
      <c s="1783"/>
      <c s="372" t="s">
        <v>1145</v>
      </c>
      <c s="2465"/>
      <c s="2207"/>
      <c s="2386"/>
      <c s="2430"/>
      <c s="1503"/>
      <c s="654" t="s">
        <v>1146</v>
      </c>
      <c s="574"/>
      <c s="1503"/>
      <c s="217"/>
      <c s="2173"/>
      <c s="337"/>
      <c s="1627"/>
      <c s="1627"/>
      <c r="AH52" s="1634">
        <v>0</v>
      </c>
    </row>
    <row r="53" spans="1:34" s="1638" customFormat="1" ht="0.75" customHeight="1" hidden="1">
      <c r="A53" s="1783"/>
      <c s="1783"/>
      <c s="372" t="s">
        <v>1151</v>
      </c>
      <c s="2465"/>
      <c s="2207"/>
      <c s="2386"/>
      <c s="403"/>
      <c s="1503"/>
      <c s="654"/>
      <c s="574"/>
      <c s="1503"/>
      <c s="217"/>
      <c s="2173"/>
      <c s="337"/>
      <c s="1627"/>
      <c s="1627"/>
      <c r="AH53" s="1634">
        <v>0</v>
      </c>
    </row>
    <row r="54" spans="1:34" s="1638" customFormat="1" ht="18.75" customHeight="1" hidden="1">
      <c r="A54" s="1783" t="s">
        <v>230</v>
      </c>
      <c s="1783" t="s">
        <v>231</v>
      </c>
      <c s="372"/>
      <c s="2465"/>
      <c s="2207"/>
      <c s="2386" t="str">
        <f>INDEX(PT_DIFFERENTIATION_VTAR,MATCH(A54,PT_DIFFERENTIATION_VTAR_ID,0))</f>
        <v>Тариф на техническую воду</v>
      </c>
      <c s="2430" t="str">
        <f>INDEX(PT_DIFFERENTIATION_NTAR,MATCH(B54,PT_DIFFERENTIATION_NTAR_ID,0))</f>
        <v/>
      </c>
      <c s="1865"/>
      <c s="1742"/>
      <c s="1776"/>
      <c s="1868"/>
      <c s="1865" t="s">
        <v>306</v>
      </c>
      <c s="2173"/>
      <c s="337"/>
      <c s="1627"/>
      <c s="1627"/>
      <c r="AH54" s="1634">
        <v>0</v>
      </c>
    </row>
    <row r="55" spans="1:34" s="1638" customFormat="1" ht="18.75" customHeight="1" hidden="1">
      <c r="A55" s="1783"/>
      <c s="1783"/>
      <c s="372" t="s">
        <v>1145</v>
      </c>
      <c s="2465"/>
      <c s="2207"/>
      <c s="2386"/>
      <c s="2430"/>
      <c s="1503"/>
      <c s="654" t="s">
        <v>1146</v>
      </c>
      <c s="574"/>
      <c s="1503"/>
      <c s="217"/>
      <c s="2173"/>
      <c s="337"/>
      <c s="1627"/>
      <c s="1627"/>
      <c r="AH55" s="1634">
        <v>0</v>
      </c>
    </row>
    <row r="56" spans="1:34" s="1638" customFormat="1" ht="0.75" customHeight="1" hidden="1">
      <c r="A56" s="1783"/>
      <c s="1783"/>
      <c s="372" t="s">
        <v>1151</v>
      </c>
      <c s="2465"/>
      <c s="2207"/>
      <c s="2386"/>
      <c s="403"/>
      <c s="1503"/>
      <c s="654"/>
      <c s="574"/>
      <c s="1503"/>
      <c s="217"/>
      <c s="2173"/>
      <c s="337"/>
      <c s="1627"/>
      <c s="1627"/>
      <c r="AH56" s="1634">
        <v>0</v>
      </c>
    </row>
    <row r="57" spans="1:34" s="1638" customFormat="1" ht="18.75" customHeight="1" hidden="1">
      <c r="A57" s="1783" t="s">
        <v>235</v>
      </c>
      <c s="1783" t="s">
        <v>236</v>
      </c>
      <c s="372"/>
      <c s="2465"/>
      <c s="2207"/>
      <c s="2386" t="str">
        <f>INDEX(PT_DIFFERENTIATION_VTAR,MATCH(A57,PT_DIFFERENTIATION_VTAR_ID,0))</f>
        <v>Тариф на транспортировку воды</v>
      </c>
      <c s="2430" t="str">
        <f>INDEX(PT_DIFFERENTIATION_NTAR,MATCH(B57,PT_DIFFERENTIATION_NTAR_ID,0))</f>
        <v/>
      </c>
      <c s="1865"/>
      <c s="1742"/>
      <c s="1776"/>
      <c s="1868"/>
      <c s="1865" t="s">
        <v>306</v>
      </c>
      <c s="2173"/>
      <c s="337"/>
      <c s="1627"/>
      <c s="1627"/>
      <c r="AH57" s="1634">
        <v>0</v>
      </c>
    </row>
    <row r="58" spans="1:34" s="1638" customFormat="1" ht="18.75" customHeight="1" hidden="1">
      <c r="A58" s="1783"/>
      <c s="1783"/>
      <c s="372" t="s">
        <v>1145</v>
      </c>
      <c s="2465"/>
      <c s="2207"/>
      <c s="2386"/>
      <c s="2430"/>
      <c s="1503"/>
      <c s="654" t="s">
        <v>1146</v>
      </c>
      <c s="574"/>
      <c s="1503"/>
      <c s="217"/>
      <c s="2173"/>
      <c s="337"/>
      <c s="1627"/>
      <c s="1627"/>
      <c r="AH58" s="1634">
        <v>0</v>
      </c>
    </row>
    <row r="59" spans="1:34" s="1638" customFormat="1" ht="0.75" customHeight="1" hidden="1">
      <c r="A59" s="1783"/>
      <c s="1783"/>
      <c s="372" t="s">
        <v>1151</v>
      </c>
      <c s="2465"/>
      <c s="2207"/>
      <c s="2386"/>
      <c s="403"/>
      <c s="1503"/>
      <c s="654"/>
      <c s="574"/>
      <c s="1503"/>
      <c s="217"/>
      <c s="2173"/>
      <c s="337"/>
      <c s="1627"/>
      <c s="1627"/>
      <c r="AH59" s="1634">
        <v>0</v>
      </c>
    </row>
    <row r="60" spans="1:34" s="1638" customFormat="1" ht="18.75" customHeight="1" hidden="1">
      <c r="A60" s="1783" t="s">
        <v>240</v>
      </c>
      <c s="1783" t="s">
        <v>241</v>
      </c>
      <c s="372"/>
      <c s="2465"/>
      <c s="2207"/>
      <c s="2386" t="str">
        <f>INDEX(PT_DIFFERENTIATION_VTAR,MATCH(A60,PT_DIFFERENTIATION_VTAR_ID,0))</f>
        <v>Тариф на подвоз воды</v>
      </c>
      <c s="2430" t="str">
        <f>INDEX(PT_DIFFERENTIATION_NTAR,MATCH(B60,PT_DIFFERENTIATION_NTAR_ID,0))</f>
        <v/>
      </c>
      <c s="1865"/>
      <c s="1742"/>
      <c s="1776"/>
      <c s="1868"/>
      <c s="1865" t="s">
        <v>306</v>
      </c>
      <c s="2173"/>
      <c s="337"/>
      <c s="1627"/>
      <c s="1627"/>
      <c r="AH60" s="1634">
        <v>0</v>
      </c>
    </row>
    <row r="61" spans="1:34" s="1638" customFormat="1" ht="18.75" customHeight="1" hidden="1">
      <c r="A61" s="1783"/>
      <c s="1783"/>
      <c s="372" t="s">
        <v>1145</v>
      </c>
      <c s="2465"/>
      <c s="2207"/>
      <c s="2386"/>
      <c s="2430"/>
      <c s="1503"/>
      <c s="654" t="s">
        <v>1146</v>
      </c>
      <c s="574"/>
      <c s="1503"/>
      <c s="217"/>
      <c s="2173"/>
      <c s="337"/>
      <c s="1627"/>
      <c s="1627"/>
      <c r="AH61" s="1634">
        <v>0</v>
      </c>
    </row>
    <row r="62" spans="1:34" s="1638" customFormat="1" ht="0.75" customHeight="1" hidden="1">
      <c r="A62" s="1783"/>
      <c s="1783"/>
      <c s="372" t="s">
        <v>1151</v>
      </c>
      <c s="2465"/>
      <c s="2207"/>
      <c s="2386"/>
      <c s="403"/>
      <c s="1503"/>
      <c s="654"/>
      <c s="574"/>
      <c s="1503"/>
      <c s="217"/>
      <c s="2173"/>
      <c s="337"/>
      <c s="1627"/>
      <c s="1627"/>
      <c r="AH62" s="1634">
        <v>0</v>
      </c>
    </row>
    <row r="63" spans="1:34" s="1638" customFormat="1" ht="18.75" customHeight="1" hidden="1">
      <c r="A63" s="1783" t="s">
        <v>245</v>
      </c>
      <c s="1783" t="s">
        <v>246</v>
      </c>
      <c s="372"/>
      <c s="2465"/>
      <c s="2207"/>
      <c s="2386" t="str">
        <f>INDEX(PT_DIFFERENTIATION_VTAR,MATCH(A63,PT_DIFFERENTIATION_VTAR_ID,0))</f>
        <v>Тариф на подключение (технологическое присоединение) к централизованной системе холодного водоснабжения</v>
      </c>
      <c s="2430" t="str">
        <f>INDEX(PT_DIFFERENTIATION_NTAR,MATCH(B63,PT_DIFFERENTIATION_NTAR_ID,0))</f>
        <v/>
      </c>
      <c s="1865"/>
      <c s="1742"/>
      <c s="1776"/>
      <c s="1868"/>
      <c s="1865" t="s">
        <v>306</v>
      </c>
      <c s="2173"/>
      <c s="337"/>
      <c s="1627"/>
      <c s="1627"/>
      <c r="AH63" s="1634">
        <v>0</v>
      </c>
    </row>
    <row r="64" spans="1:34" s="1638" customFormat="1" ht="18.75" customHeight="1" hidden="1">
      <c r="A64" s="1783"/>
      <c s="1783"/>
      <c s="372" t="s">
        <v>1145</v>
      </c>
      <c s="2465"/>
      <c s="2207"/>
      <c s="2386"/>
      <c s="2430"/>
      <c s="1503"/>
      <c s="654" t="s">
        <v>1146</v>
      </c>
      <c s="574"/>
      <c s="1503"/>
      <c s="217"/>
      <c s="2173"/>
      <c s="337"/>
      <c s="1627"/>
      <c s="1627"/>
      <c r="AH64" s="1634">
        <v>0</v>
      </c>
    </row>
    <row r="65" spans="1:34" s="1638" customFormat="1" ht="0.75" customHeight="1" hidden="1">
      <c r="A65" s="1783"/>
      <c s="1783"/>
      <c s="372" t="s">
        <v>1151</v>
      </c>
      <c s="2465"/>
      <c s="2207"/>
      <c s="2386"/>
      <c s="403"/>
      <c s="1503"/>
      <c s="654"/>
      <c s="574"/>
      <c s="1503"/>
      <c s="217"/>
      <c s="2173"/>
      <c s="337"/>
      <c s="1627"/>
      <c s="1627"/>
      <c r="AH65" s="1634">
        <v>0</v>
      </c>
    </row>
    <row r="66" spans="1:34" s="1638" customFormat="1" ht="18.75" customHeight="1" hidden="1">
      <c r="A66" s="1783" t="s">
        <v>250</v>
      </c>
      <c s="1783" t="s">
        <v>251</v>
      </c>
      <c s="372"/>
      <c s="2465"/>
      <c s="2207"/>
      <c s="2386" t="str">
        <f>INDEX(PT_DIFFERENTIATION_VTAR,MATCH(A66,PT_DIFFERENTIATION_VTAR_ID,0))</f>
        <v>Тариф на горячую воду (горячее водоснабжение)</v>
      </c>
      <c s="2430" t="str">
        <f>INDEX(PT_DIFFERENTIATION_NTAR,MATCH(B66,PT_DIFFERENTIATION_NTAR_ID,0))</f>
        <v/>
      </c>
      <c s="1865"/>
      <c s="1742"/>
      <c s="1776"/>
      <c s="1868"/>
      <c s="1865" t="s">
        <v>306</v>
      </c>
      <c s="2173"/>
      <c s="337"/>
      <c s="1627"/>
      <c s="1627"/>
      <c r="AH66" s="1634">
        <v>0</v>
      </c>
    </row>
    <row r="67" spans="1:34" s="1638" customFormat="1" ht="18.75" customHeight="1" hidden="1">
      <c r="A67" s="1783"/>
      <c s="1783"/>
      <c s="372" t="s">
        <v>1145</v>
      </c>
      <c s="2465"/>
      <c s="2207"/>
      <c s="2386"/>
      <c s="2430"/>
      <c s="1503"/>
      <c s="654" t="s">
        <v>1146</v>
      </c>
      <c s="574"/>
      <c s="1503"/>
      <c s="217"/>
      <c s="2173"/>
      <c s="337"/>
      <c s="1627"/>
      <c s="1627"/>
      <c r="AH67" s="1634">
        <v>0</v>
      </c>
    </row>
    <row r="68" spans="1:34" s="1638" customFormat="1" ht="0.75" customHeight="1" hidden="1">
      <c r="A68" s="1783"/>
      <c s="1783"/>
      <c s="372" t="s">
        <v>1151</v>
      </c>
      <c s="2465"/>
      <c s="2207"/>
      <c s="2386"/>
      <c s="403"/>
      <c s="1503"/>
      <c s="654"/>
      <c s="574"/>
      <c s="1503"/>
      <c s="217"/>
      <c s="2173"/>
      <c s="337"/>
      <c s="1627"/>
      <c s="1627"/>
      <c r="AH68" s="1634">
        <v>0</v>
      </c>
    </row>
    <row r="69" spans="1:34" s="1638" customFormat="1" ht="18.75" customHeight="1" hidden="1">
      <c r="A69" s="1783" t="s">
        <v>255</v>
      </c>
      <c s="1783" t="s">
        <v>256</v>
      </c>
      <c s="372"/>
      <c s="2465"/>
      <c s="2207"/>
      <c s="2386" t="str">
        <f>INDEX(PT_DIFFERENTIATION_VTAR,MATCH(A69,PT_DIFFERENTIATION_VTAR_ID,0))</f>
        <v>Тариф на транспортировку горячей воды</v>
      </c>
      <c s="2430" t="str">
        <f>INDEX(PT_DIFFERENTIATION_NTAR,MATCH(B69,PT_DIFFERENTIATION_NTAR_ID,0))</f>
        <v/>
      </c>
      <c s="1865"/>
      <c s="1742"/>
      <c s="1776"/>
      <c s="1868"/>
      <c s="1865" t="s">
        <v>306</v>
      </c>
      <c s="2173"/>
      <c s="337"/>
      <c s="1627"/>
      <c s="1627"/>
      <c r="AH69" s="1634">
        <v>0</v>
      </c>
    </row>
    <row r="70" spans="1:34" s="1638" customFormat="1" ht="18.75" customHeight="1" hidden="1">
      <c r="A70" s="1783"/>
      <c s="1783"/>
      <c s="372" t="s">
        <v>1145</v>
      </c>
      <c s="2465"/>
      <c s="2207"/>
      <c s="2386"/>
      <c s="2430"/>
      <c s="1503"/>
      <c s="654" t="s">
        <v>1146</v>
      </c>
      <c s="574"/>
      <c s="1503"/>
      <c s="217"/>
      <c s="2173"/>
      <c s="337"/>
      <c s="1627"/>
      <c s="1627"/>
      <c r="AH70" s="1634">
        <v>0</v>
      </c>
    </row>
    <row r="71" spans="1:34" s="1638" customFormat="1" ht="0.75" customHeight="1" hidden="1">
      <c r="A71" s="1783"/>
      <c s="1783"/>
      <c s="372" t="s">
        <v>1151</v>
      </c>
      <c s="2465"/>
      <c s="2207"/>
      <c s="2386"/>
      <c s="403"/>
      <c s="1503"/>
      <c s="654"/>
      <c s="574"/>
      <c s="1503"/>
      <c s="217"/>
      <c s="2173"/>
      <c s="337"/>
      <c s="1627"/>
      <c s="1627"/>
      <c r="AH71" s="1634">
        <v>0</v>
      </c>
    </row>
    <row r="72" spans="1:34" s="1638" customFormat="1" ht="18.75" customHeight="1" hidden="1">
      <c r="A72" s="1783" t="s">
        <v>260</v>
      </c>
      <c s="1783" t="s">
        <v>261</v>
      </c>
      <c s="372"/>
      <c s="2465"/>
      <c s="2207"/>
      <c s="2386" t="str">
        <f>INDEX(PT_DIFFERENTIATION_VTAR,MATCH(A72,PT_DIFFERENTIATION_VTAR_ID,0))</f>
        <v>Тариф на подключение (технологическое присоединение) к централизованной системе горячего водоснабжения</v>
      </c>
      <c s="2430" t="str">
        <f>INDEX(PT_DIFFERENTIATION_NTAR,MATCH(B72,PT_DIFFERENTIATION_NTAR_ID,0))</f>
        <v/>
      </c>
      <c s="1865"/>
      <c s="1742"/>
      <c s="1776"/>
      <c s="1868"/>
      <c s="1865" t="s">
        <v>306</v>
      </c>
      <c s="2173"/>
      <c s="337"/>
      <c s="1627"/>
      <c s="1627"/>
      <c r="AH72" s="1634">
        <v>0</v>
      </c>
    </row>
    <row r="73" spans="1:34" s="1638" customFormat="1" ht="18.75" customHeight="1" hidden="1">
      <c r="A73" s="1783"/>
      <c s="1783"/>
      <c s="372" t="s">
        <v>1145</v>
      </c>
      <c s="2465"/>
      <c s="2207"/>
      <c s="2386"/>
      <c s="2430"/>
      <c s="1503"/>
      <c s="654" t="s">
        <v>1146</v>
      </c>
      <c s="574"/>
      <c s="1503"/>
      <c s="217"/>
      <c s="2173"/>
      <c s="337"/>
      <c s="1627"/>
      <c s="1627"/>
      <c r="AH73" s="1634">
        <v>0</v>
      </c>
    </row>
    <row r="74" spans="1:34" s="1638" customFormat="1" ht="0.75" customHeight="1" hidden="1">
      <c r="A74" s="1783"/>
      <c s="1783"/>
      <c s="372" t="s">
        <v>1151</v>
      </c>
      <c s="2465"/>
      <c s="2207"/>
      <c s="2386"/>
      <c s="403"/>
      <c s="1503"/>
      <c s="654"/>
      <c s="574"/>
      <c s="1503"/>
      <c s="217"/>
      <c s="2173"/>
      <c s="337"/>
      <c s="1627"/>
      <c s="1627"/>
      <c r="AH74" s="1634">
        <v>0</v>
      </c>
    </row>
    <row r="75" spans="1:34" s="1638" customFormat="1" ht="18.75" customHeight="1" hidden="1">
      <c r="A75" s="1783" t="s">
        <v>265</v>
      </c>
      <c s="1783" t="s">
        <v>266</v>
      </c>
      <c s="372"/>
      <c s="2465"/>
      <c s="2207"/>
      <c s="2386" t="str">
        <f>INDEX(PT_DIFFERENTIATION_VTAR,MATCH(A75,PT_DIFFERENTIATION_VTAR_ID,0))</f>
        <v>Тариф на водоотведение</v>
      </c>
      <c s="2430" t="str">
        <f>INDEX(PT_DIFFERENTIATION_NTAR,MATCH(B75,PT_DIFFERENTIATION_NTAR_ID,0))</f>
        <v/>
      </c>
      <c s="1865"/>
      <c s="1742"/>
      <c s="1776"/>
      <c s="1868"/>
      <c s="1865" t="s">
        <v>306</v>
      </c>
      <c s="2173"/>
      <c s="337"/>
      <c s="1627"/>
      <c s="1627"/>
      <c r="AH75" s="1634">
        <v>0</v>
      </c>
    </row>
    <row r="76" spans="1:34" s="1638" customFormat="1" ht="18.75" customHeight="1" hidden="1">
      <c r="A76" s="1783"/>
      <c s="1783"/>
      <c s="372" t="s">
        <v>1145</v>
      </c>
      <c s="2465"/>
      <c s="2207"/>
      <c s="2386"/>
      <c s="2430"/>
      <c s="1503"/>
      <c s="654" t="s">
        <v>1146</v>
      </c>
      <c s="574"/>
      <c s="1503"/>
      <c s="217"/>
      <c s="2173"/>
      <c s="337"/>
      <c s="1627"/>
      <c s="1627"/>
      <c r="AH76" s="1634">
        <v>0</v>
      </c>
    </row>
    <row r="77" spans="1:34" s="1638" customFormat="1" ht="0.75" customHeight="1" hidden="1">
      <c r="A77" s="1783"/>
      <c s="1783"/>
      <c s="372" t="s">
        <v>1151</v>
      </c>
      <c s="2465"/>
      <c s="2207"/>
      <c s="2386"/>
      <c s="403"/>
      <c s="1503"/>
      <c s="654"/>
      <c s="574"/>
      <c s="1503"/>
      <c s="217"/>
      <c s="2173"/>
      <c s="337"/>
      <c s="1627"/>
      <c s="1627"/>
      <c r="AH77" s="1634">
        <v>0</v>
      </c>
    </row>
    <row r="78" spans="1:34" s="1638" customFormat="1" ht="18.75" customHeight="1" hidden="1">
      <c r="A78" s="1783" t="s">
        <v>270</v>
      </c>
      <c s="1783" t="s">
        <v>271</v>
      </c>
      <c s="372"/>
      <c s="2465"/>
      <c s="2207"/>
      <c s="2386" t="str">
        <f>INDEX(PT_DIFFERENTIATION_VTAR,MATCH(A78,PT_DIFFERENTIATION_VTAR_ID,0))</f>
        <v>Тариф на транспортировку сточных вод</v>
      </c>
      <c s="2430" t="str">
        <f>INDEX(PT_DIFFERENTIATION_NTAR,MATCH(B78,PT_DIFFERENTIATION_NTAR_ID,0))</f>
        <v/>
      </c>
      <c s="1865"/>
      <c s="1742"/>
      <c s="1776"/>
      <c s="1868"/>
      <c s="1865" t="s">
        <v>306</v>
      </c>
      <c s="2173"/>
      <c s="337"/>
      <c s="1627"/>
      <c s="1627"/>
      <c r="AH78" s="1634">
        <v>0</v>
      </c>
    </row>
    <row r="79" spans="1:34" s="1638" customFormat="1" ht="18.75" customHeight="1" hidden="1">
      <c r="A79" s="1783"/>
      <c s="1783"/>
      <c s="372" t="s">
        <v>1145</v>
      </c>
      <c s="2465"/>
      <c s="2207"/>
      <c s="2386"/>
      <c s="2430"/>
      <c s="1503"/>
      <c s="654" t="s">
        <v>1146</v>
      </c>
      <c s="574"/>
      <c s="1503"/>
      <c s="217"/>
      <c s="2173"/>
      <c s="337"/>
      <c s="1627"/>
      <c s="1627"/>
      <c r="AH79" s="1634">
        <v>0</v>
      </c>
    </row>
    <row r="80" spans="1:34" s="1638" customFormat="1" ht="0.75" customHeight="1" hidden="1">
      <c r="A80" s="1783"/>
      <c s="1783"/>
      <c s="372" t="s">
        <v>1151</v>
      </c>
      <c s="2465"/>
      <c s="2207"/>
      <c s="2386"/>
      <c s="403"/>
      <c s="1503"/>
      <c s="654"/>
      <c s="574"/>
      <c s="1503"/>
      <c s="217"/>
      <c s="2173"/>
      <c s="337"/>
      <c s="1627"/>
      <c s="1627"/>
      <c r="AH80" s="1634">
        <v>0</v>
      </c>
    </row>
    <row r="81" spans="1:34" s="1638" customFormat="1" ht="18.75" customHeight="1" hidden="1">
      <c r="A81" s="1783" t="s">
        <v>275</v>
      </c>
      <c s="1783" t="s">
        <v>276</v>
      </c>
      <c s="372"/>
      <c s="2465"/>
      <c s="2207"/>
      <c s="2386" t="str">
        <f>INDEX(PT_DIFFERENTIATION_VTAR,MATCH(A81,PT_DIFFERENTIATION_VTAR_ID,0))</f>
        <v>Тариф на подключение (технологическое присоединение) к централизованной системе водоотведения</v>
      </c>
      <c s="2430" t="str">
        <f>INDEX(PT_DIFFERENTIATION_NTAR,MATCH(B81,PT_DIFFERENTIATION_NTAR_ID,0))</f>
        <v/>
      </c>
      <c s="1865"/>
      <c s="1742"/>
      <c s="1776"/>
      <c s="1868"/>
      <c s="1865" t="s">
        <v>306</v>
      </c>
      <c s="2173"/>
      <c s="337"/>
      <c s="1627"/>
      <c s="1627"/>
      <c r="AH81" s="1634">
        <v>0</v>
      </c>
    </row>
    <row r="82" spans="1:34" s="1638" customFormat="1" ht="18.75" customHeight="1" hidden="1">
      <c r="A82" s="1783"/>
      <c s="1783"/>
      <c s="372" t="s">
        <v>1145</v>
      </c>
      <c s="2465"/>
      <c s="2207"/>
      <c s="2386"/>
      <c s="2430"/>
      <c s="1503"/>
      <c s="654" t="s">
        <v>1146</v>
      </c>
      <c s="574"/>
      <c s="1503"/>
      <c s="217"/>
      <c s="2173"/>
      <c s="337"/>
      <c s="1627"/>
      <c s="1627"/>
      <c r="AH82" s="1634">
        <v>0</v>
      </c>
    </row>
    <row r="83" spans="1:34" s="1638" customFormat="1" ht="1.05" customHeight="1">
      <c r="A83" s="1783"/>
      <c s="1783"/>
      <c s="372" t="s">
        <v>1151</v>
      </c>
      <c s="2465"/>
      <c s="2207"/>
      <c s="2386"/>
      <c s="403"/>
      <c s="1503"/>
      <c s="654"/>
      <c s="574"/>
      <c s="1503"/>
      <c s="217"/>
      <c s="2173"/>
      <c s="337"/>
      <c s="1627"/>
      <c s="1627"/>
      <c r="AH83" s="1634">
        <v>1</v>
      </c>
    </row>
    <row r="84" spans="1:34" ht="19.95" customHeight="1">
      <c r="A84" s="1783"/>
      <c s="1783"/>
      <c r="D84" s="379"/>
      <c s="150" t="s">
        <v>110</v>
      </c>
      <c s="2463" t="str">
        <f>"Долгосрочные параметры регулирования (в случае если их установление предусмотрено выбранным методом регулирования тарифов в сфере "&amp;TEMPLATE_SPHERE_RUS&amp;")"</f>
        <v>Долгосрочные параметры регулирования (в случае если их установление предусмотрено выбранным методом регулирования тарифов в сфере водоотведения)</v>
      </c>
      <c s="2463"/>
      <c s="2463"/>
      <c s="2463"/>
      <c s="2463"/>
      <c s="2463"/>
      <c s="2463"/>
      <c s="300"/>
      <c s="337"/>
      <c r="AH84" s="377">
        <v>19</v>
      </c>
    </row>
    <row r="85" spans="1:34" ht="35.7" customHeight="1">
      <c r="A85" s="1783"/>
      <c s="1783"/>
      <c r="D85" s="379"/>
      <c s="402"/>
      <c s="201" t="s">
        <v>306</v>
      </c>
      <c s="201" t="s">
        <v>306</v>
      </c>
      <c s="2221" t="s">
        <v>306</v>
      </c>
      <c s="2223"/>
      <c s="201" t="s">
        <v>306</v>
      </c>
      <c s="201" t="s">
        <v>306</v>
      </c>
      <c s="404"/>
      <c s="348" t="s">
        <v>1152</v>
      </c>
      <c s="337"/>
      <c r="AH85" s="377">
        <v>34</v>
      </c>
    </row>
    <row r="86" spans="1:34" ht="19.95" customHeight="1">
      <c r="A86" s="1783"/>
      <c s="1783"/>
      <c r="D86" s="379"/>
      <c s="150" t="s">
        <v>89</v>
      </c>
      <c s="2463" t="s">
        <v>1153</v>
      </c>
      <c s="2463"/>
      <c s="2463"/>
      <c s="2463"/>
      <c s="2463"/>
      <c s="2463"/>
      <c s="2463"/>
      <c s="300"/>
      <c s="337"/>
      <c r="AH86" s="377">
        <v>19</v>
      </c>
    </row>
    <row r="87" spans="1:34" s="1638" customFormat="1" ht="60.75" customHeight="1" hidden="1">
      <c r="A87" s="1783" t="s">
        <v>157</v>
      </c>
      <c s="1783" t="s">
        <v>158</v>
      </c>
      <c s="372"/>
      <c s="2465"/>
      <c s="2207"/>
      <c s="2386" t="str">
        <f>INDEX(PT_DIFFERENTIATION_VTAR,MATCH(A87,PT_DIFFERENTIATION_VTAR_ID,0))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s="2430" t="str">
        <f>INDEX(PT_DIFFERENTIATION_NTAR,MATCH(B87,PT_DIFFERENTIATION_NTAR_ID,0))</f>
        <v/>
      </c>
      <c s="1865"/>
      <c s="1742"/>
      <c s="1776"/>
      <c s="1781"/>
      <c s="1865" t="s">
        <v>306</v>
      </c>
      <c s="2172"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водоотведения,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v>
      </c>
      <c s="337"/>
      <c s="1627"/>
      <c s="1627"/>
      <c r="AH87" s="1634">
        <v>0</v>
      </c>
    </row>
    <row r="88" spans="1:34" s="1638" customFormat="1" ht="18.75" customHeight="1" hidden="1">
      <c r="A88" s="1783"/>
      <c s="1783"/>
      <c s="372" t="s">
        <v>1147</v>
      </c>
      <c s="2465"/>
      <c s="2207"/>
      <c s="2386"/>
      <c s="2430"/>
      <c s="1503"/>
      <c s="654" t="s">
        <v>1146</v>
      </c>
      <c s="574"/>
      <c s="1503"/>
      <c s="217"/>
      <c s="2173"/>
      <c s="337"/>
      <c s="1627"/>
      <c s="1627"/>
      <c r="AH88" s="1634">
        <v>0</v>
      </c>
    </row>
    <row r="89" spans="1:34" s="1638" customFormat="1" ht="0.75" customHeight="1" hidden="1">
      <c r="A89" s="1783"/>
      <c s="1783"/>
      <c s="372" t="s">
        <v>1154</v>
      </c>
      <c s="2465"/>
      <c s="2207"/>
      <c s="2386"/>
      <c s="403"/>
      <c s="1503"/>
      <c s="654"/>
      <c s="574"/>
      <c s="1503"/>
      <c s="217"/>
      <c s="2173"/>
      <c s="337"/>
      <c s="1627"/>
      <c s="1627"/>
      <c r="AH89" s="1634">
        <v>0</v>
      </c>
    </row>
    <row r="90" spans="1:34" s="1638" customFormat="1" ht="45" customHeight="1" hidden="1">
      <c r="A90" s="1783" t="s">
        <v>162</v>
      </c>
      <c s="1783" t="s">
        <v>163</v>
      </c>
      <c s="372"/>
      <c s="2465"/>
      <c s="2207"/>
      <c s="2386" t="str">
        <f>INDEX(PT_DIFFERENTIATION_VTAR,MATCH(A90,PT_DIFFERENTIATION_VTAR_ID,0))</f>
        <v/>
      </c>
      <c s="2430" t="str">
        <f>INDEX(PT_DIFFERENTIATION_NTAR,MATCH(B90,PT_DIFFERENTIATION_NTAR_ID,0))</f>
        <v/>
      </c>
      <c s="1865"/>
      <c s="1742"/>
      <c s="1776"/>
      <c s="1781"/>
      <c s="1865" t="s">
        <v>306</v>
      </c>
      <c s="2174"/>
      <c s="337"/>
      <c s="1627"/>
      <c s="1627"/>
      <c r="AH90" s="1634">
        <v>0</v>
      </c>
    </row>
    <row r="91" spans="1:34" s="1638" customFormat="1" ht="18.75" customHeight="1" hidden="1">
      <c r="A91" s="1783"/>
      <c s="1783"/>
      <c s="372" t="s">
        <v>1147</v>
      </c>
      <c s="2465"/>
      <c s="2207"/>
      <c s="2386"/>
      <c s="2430"/>
      <c s="1503"/>
      <c s="654" t="s">
        <v>1146</v>
      </c>
      <c s="574"/>
      <c s="1503"/>
      <c s="217"/>
      <c s="1864"/>
      <c s="337"/>
      <c s="1627"/>
      <c s="1627"/>
      <c r="AH91" s="1634">
        <v>0</v>
      </c>
    </row>
    <row r="92" spans="1:34" s="1638" customFormat="1" ht="0.75" customHeight="1" hidden="1">
      <c r="A92" s="1783"/>
      <c s="1783"/>
      <c s="372" t="s">
        <v>1154</v>
      </c>
      <c s="2465"/>
      <c s="2207"/>
      <c s="2386"/>
      <c s="403"/>
      <c s="1503"/>
      <c s="654"/>
      <c s="574"/>
      <c s="1503"/>
      <c s="217"/>
      <c s="344"/>
      <c s="337"/>
      <c s="1627"/>
      <c s="1627"/>
      <c r="AH92" s="1634">
        <v>0</v>
      </c>
    </row>
    <row r="93" spans="1:34" s="1638" customFormat="1" ht="45" customHeight="1" hidden="1">
      <c r="A93" s="1783" t="s">
        <v>169</v>
      </c>
      <c s="1783" t="s">
        <v>170</v>
      </c>
      <c s="372"/>
      <c s="2465"/>
      <c s="2207"/>
      <c s="2386" t="str">
        <f>INDEX(PT_DIFFERENTIATION_VTAR,MATCH(A93,PT_DIFFERENTIATION_VTAR_ID,0))</f>
        <v>Тарифы на теплоноситель, поставляемый теплоснабжающими организациями потребителям, другим теплоснабжающим организациям</v>
      </c>
      <c s="2430" t="str">
        <f>INDEX(PT_DIFFERENTIATION_NTAR,MATCH(B93,PT_DIFFERENTIATION_NTAR_ID,0))</f>
        <v/>
      </c>
      <c s="1865"/>
      <c s="1742"/>
      <c s="1776"/>
      <c s="1781"/>
      <c s="1865" t="s">
        <v>306</v>
      </c>
      <c s="344"/>
      <c s="337"/>
      <c s="1627"/>
      <c s="1627"/>
      <c r="AH93" s="1634">
        <v>0</v>
      </c>
    </row>
    <row r="94" spans="1:34" s="1638" customFormat="1" ht="18.75" customHeight="1" hidden="1">
      <c r="A94" s="1783"/>
      <c s="1783"/>
      <c s="372" t="s">
        <v>1147</v>
      </c>
      <c s="2465"/>
      <c s="2207"/>
      <c s="2386"/>
      <c s="2430"/>
      <c s="1503"/>
      <c s="654" t="s">
        <v>1146</v>
      </c>
      <c s="574"/>
      <c s="1503"/>
      <c s="217"/>
      <c s="344"/>
      <c s="337"/>
      <c s="1627"/>
      <c s="1627"/>
      <c r="AH94" s="1634">
        <v>0</v>
      </c>
    </row>
    <row r="95" spans="1:34" s="1638" customFormat="1" ht="0.75" customHeight="1" hidden="1">
      <c r="A95" s="1783"/>
      <c s="1783"/>
      <c s="372" t="s">
        <v>1154</v>
      </c>
      <c s="2465"/>
      <c s="2207"/>
      <c s="2386"/>
      <c s="403"/>
      <c s="1503"/>
      <c s="654"/>
      <c s="574"/>
      <c s="1503"/>
      <c s="217"/>
      <c s="344"/>
      <c s="337"/>
      <c s="1627"/>
      <c s="1627"/>
      <c r="AH95" s="1634">
        <v>0</v>
      </c>
    </row>
    <row r="96" spans="1:34" s="1638" customFormat="1" ht="45" customHeight="1" hidden="1">
      <c r="A96" s="1783" t="s">
        <v>175</v>
      </c>
      <c s="1783" t="s">
        <v>176</v>
      </c>
      <c s="372"/>
      <c s="2465"/>
      <c s="2207"/>
      <c s="2386" t="str">
        <f>INDEX(PT_DIFFERENTIATION_VTAR,MATCH(A96,PT_DIFFERENTIATION_VTAR_ID,0))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s="2430" t="str">
        <f>INDEX(PT_DIFFERENTIATION_NTAR,MATCH(B96,PT_DIFFERENTIATION_NTAR_ID,0))</f>
        <v/>
      </c>
      <c s="1865"/>
      <c s="1742"/>
      <c s="1776"/>
      <c s="1781"/>
      <c s="1865" t="s">
        <v>306</v>
      </c>
      <c s="344"/>
      <c s="337"/>
      <c s="1627"/>
      <c s="1627"/>
      <c r="AH96" s="1634">
        <v>0</v>
      </c>
    </row>
    <row r="97" spans="1:34" s="1638" customFormat="1" ht="18.75" customHeight="1" hidden="1">
      <c r="A97" s="1783"/>
      <c s="1783"/>
      <c s="372" t="s">
        <v>1147</v>
      </c>
      <c s="2465"/>
      <c s="2207"/>
      <c s="2386"/>
      <c s="2430"/>
      <c s="1503"/>
      <c s="654" t="s">
        <v>1146</v>
      </c>
      <c s="574"/>
      <c s="1503"/>
      <c s="217"/>
      <c s="344"/>
      <c s="337"/>
      <c s="1627"/>
      <c s="1627"/>
      <c r="AH97" s="1634">
        <v>0</v>
      </c>
    </row>
    <row r="98" spans="1:34" s="1638" customFormat="1" ht="0.75" customHeight="1" hidden="1">
      <c r="A98" s="1783"/>
      <c s="1783"/>
      <c s="372" t="s">
        <v>1154</v>
      </c>
      <c s="2465"/>
      <c s="2207"/>
      <c s="2386"/>
      <c s="403"/>
      <c s="1503"/>
      <c s="654"/>
      <c s="574"/>
      <c s="1503"/>
      <c s="217"/>
      <c s="344"/>
      <c s="337"/>
      <c s="1627"/>
      <c s="1627"/>
      <c r="AH98" s="1634">
        <v>0</v>
      </c>
    </row>
    <row r="99" spans="1:34" s="1638" customFormat="1" ht="18.75" customHeight="1" hidden="1">
      <c r="A99" s="1783" t="s">
        <v>181</v>
      </c>
      <c s="1783" t="s">
        <v>182</v>
      </c>
      <c s="372"/>
      <c s="2465"/>
      <c s="2207"/>
      <c s="2386" t="str">
        <f>INDEX(PT_DIFFERENTIATION_VTAR,MATCH(A99,PT_DIFFERENTIATION_VTAR_ID,0))</f>
        <v>Тарифы на услуги по передаче тепловой энергии</v>
      </c>
      <c s="2430" t="str">
        <f>INDEX(PT_DIFFERENTIATION_NTAR,MATCH(B99,PT_DIFFERENTIATION_NTAR_ID,0))</f>
        <v/>
      </c>
      <c s="1865"/>
      <c s="1742"/>
      <c s="1776"/>
      <c s="1781"/>
      <c s="1865" t="s">
        <v>306</v>
      </c>
      <c s="344"/>
      <c s="337"/>
      <c s="1627"/>
      <c s="1627"/>
      <c r="AH99" s="1634">
        <v>0</v>
      </c>
    </row>
    <row r="100" spans="1:34" s="1638" customFormat="1" ht="18.75" customHeight="1" hidden="1">
      <c r="A100" s="1783"/>
      <c s="1783"/>
      <c s="372" t="s">
        <v>1147</v>
      </c>
      <c s="2465"/>
      <c s="2207"/>
      <c s="2386"/>
      <c s="2430"/>
      <c s="1503"/>
      <c s="654" t="s">
        <v>1146</v>
      </c>
      <c s="574"/>
      <c s="1503"/>
      <c s="217"/>
      <c s="344"/>
      <c s="337"/>
      <c s="1627"/>
      <c s="1627"/>
      <c r="AH100" s="1634">
        <v>0</v>
      </c>
    </row>
    <row r="101" spans="1:34" s="1638" customFormat="1" ht="0.75" customHeight="1" hidden="1">
      <c r="A101" s="1783"/>
      <c s="1783"/>
      <c s="372" t="s">
        <v>1154</v>
      </c>
      <c s="2465"/>
      <c s="2207"/>
      <c s="2386"/>
      <c s="403"/>
      <c s="1503"/>
      <c s="654"/>
      <c s="574"/>
      <c s="1503"/>
      <c s="217"/>
      <c s="344"/>
      <c s="337"/>
      <c s="1627"/>
      <c s="1627"/>
      <c r="AH101" s="1634">
        <v>0</v>
      </c>
    </row>
    <row r="102" spans="1:34" s="1638" customFormat="1" ht="18.75" customHeight="1" hidden="1">
      <c r="A102" s="1783" t="s">
        <v>187</v>
      </c>
      <c s="1783" t="s">
        <v>188</v>
      </c>
      <c s="372"/>
      <c s="2465"/>
      <c s="2207"/>
      <c s="2386" t="str">
        <f>INDEX(PT_DIFFERENTIATION_VTAR,MATCH(A102,PT_DIFFERENTIATION_VTAR_ID,0))</f>
        <v>Тарифы на услуги по передаче теплоносителя</v>
      </c>
      <c s="2430" t="str">
        <f>INDEX(PT_DIFFERENTIATION_NTAR,MATCH(B102,PT_DIFFERENTIATION_NTAR_ID,0))</f>
        <v/>
      </c>
      <c s="1865"/>
      <c s="1742"/>
      <c s="1776"/>
      <c s="1781"/>
      <c s="1865" t="s">
        <v>306</v>
      </c>
      <c s="344"/>
      <c s="337"/>
      <c s="1627"/>
      <c s="1627"/>
      <c r="AH102" s="1634">
        <v>0</v>
      </c>
    </row>
    <row r="103" spans="1:34" s="1638" customFormat="1" ht="18.75" customHeight="1" hidden="1">
      <c r="A103" s="1783"/>
      <c s="1783"/>
      <c s="372" t="s">
        <v>1147</v>
      </c>
      <c s="2465"/>
      <c s="2207"/>
      <c s="2386"/>
      <c s="2430"/>
      <c s="1503"/>
      <c s="654" t="s">
        <v>1146</v>
      </c>
      <c s="574"/>
      <c s="1503"/>
      <c s="217"/>
      <c s="344"/>
      <c s="337"/>
      <c s="1627"/>
      <c s="1627"/>
      <c r="AH103" s="1634">
        <v>0</v>
      </c>
    </row>
    <row r="104" spans="1:34" s="1638" customFormat="1" ht="0.75" customHeight="1" hidden="1">
      <c r="A104" s="1783"/>
      <c s="1783"/>
      <c s="372" t="s">
        <v>1154</v>
      </c>
      <c s="2465"/>
      <c s="2207"/>
      <c s="2386"/>
      <c s="403"/>
      <c s="1503"/>
      <c s="654"/>
      <c s="574"/>
      <c s="1503"/>
      <c s="217"/>
      <c s="344"/>
      <c s="337"/>
      <c s="1627"/>
      <c s="1627"/>
      <c r="AH104" s="1634">
        <v>0</v>
      </c>
    </row>
    <row r="105" spans="1:34" s="1638" customFormat="1" ht="18.75" customHeight="1" hidden="1">
      <c r="A105" s="1783" t="s">
        <v>193</v>
      </c>
      <c s="1783" t="s">
        <v>194</v>
      </c>
      <c s="372"/>
      <c s="2465"/>
      <c s="2207"/>
      <c s="2386" t="str">
        <f>INDEX(PT_DIFFERENTIATION_VTAR,MATCH(A105,PT_DIFFERENTIATION_VTAR_ID,0))</f>
        <v>Плата за услуги по поддержанию резервной тепловой мощности при отсутствии потребления тепловой энергии</v>
      </c>
      <c s="2430" t="str">
        <f>INDEX(PT_DIFFERENTIATION_NTAR,MATCH(B105,PT_DIFFERENTIATION_NTAR_ID,0))</f>
        <v/>
      </c>
      <c s="1865"/>
      <c s="1742"/>
      <c s="1776"/>
      <c s="1781"/>
      <c s="1865" t="s">
        <v>306</v>
      </c>
      <c s="344"/>
      <c s="337"/>
      <c s="1627"/>
      <c s="1627"/>
      <c r="AH105" s="1634">
        <v>0</v>
      </c>
    </row>
    <row r="106" spans="1:34" s="1638" customFormat="1" ht="18.75" customHeight="1" hidden="1">
      <c r="A106" s="1783"/>
      <c s="1783"/>
      <c s="372" t="s">
        <v>1147</v>
      </c>
      <c s="2465"/>
      <c s="2207"/>
      <c s="2386"/>
      <c s="2430"/>
      <c s="1503"/>
      <c s="654" t="s">
        <v>1146</v>
      </c>
      <c s="574"/>
      <c s="1503"/>
      <c s="217"/>
      <c s="344"/>
      <c s="337"/>
      <c s="1627"/>
      <c s="1627"/>
      <c r="AH106" s="1634">
        <v>0</v>
      </c>
    </row>
    <row r="107" spans="1:34" s="1638" customFormat="1" ht="0.75" customHeight="1" hidden="1">
      <c r="A107" s="1783"/>
      <c s="1783"/>
      <c s="372" t="s">
        <v>1154</v>
      </c>
      <c s="2465"/>
      <c s="2207"/>
      <c s="2386"/>
      <c s="403"/>
      <c s="1503"/>
      <c s="654"/>
      <c s="574"/>
      <c s="1503"/>
      <c s="217"/>
      <c s="344"/>
      <c s="337"/>
      <c s="1627"/>
      <c s="1627"/>
      <c r="AH107" s="1634">
        <v>0</v>
      </c>
    </row>
    <row r="108" spans="1:34" s="1638" customFormat="1" ht="18.75" customHeight="1" hidden="1">
      <c r="A108" s="1783" t="s">
        <v>199</v>
      </c>
      <c s="1783" t="s">
        <v>200</v>
      </c>
      <c s="372"/>
      <c s="2465"/>
      <c s="2207"/>
      <c s="2386" t="str">
        <f>INDEX(PT_DIFFERENTIATION_VTAR,MATCH(A108,PT_DIFFERENTIATION_VTAR_ID,0))</f>
        <v>Плата за подключение (технологическое присоединение) к системе теплоснабжения</v>
      </c>
      <c s="2430" t="str">
        <f>INDEX(PT_DIFFERENTIATION_NTAR,MATCH(B108,PT_DIFFERENTIATION_NTAR_ID,0))</f>
        <v/>
      </c>
      <c s="1865"/>
      <c s="1742"/>
      <c s="1776"/>
      <c s="1781"/>
      <c s="1865" t="s">
        <v>306</v>
      </c>
      <c s="344"/>
      <c s="337"/>
      <c s="1627"/>
      <c s="1627"/>
      <c r="AH108" s="1634">
        <v>0</v>
      </c>
    </row>
    <row r="109" spans="1:34" s="1638" customFormat="1" ht="18.75" customHeight="1" hidden="1">
      <c r="A109" s="1783"/>
      <c s="1783"/>
      <c s="372" t="s">
        <v>1147</v>
      </c>
      <c s="2465"/>
      <c s="2207"/>
      <c s="2386"/>
      <c s="2430"/>
      <c s="1503"/>
      <c s="654" t="s">
        <v>1146</v>
      </c>
      <c s="574"/>
      <c s="1503"/>
      <c s="217"/>
      <c s="344"/>
      <c s="337"/>
      <c s="1627"/>
      <c s="1627"/>
      <c r="AH109" s="1634">
        <v>0</v>
      </c>
    </row>
    <row r="110" spans="1:34" s="1638" customFormat="1" ht="0.75" customHeight="1" hidden="1">
      <c r="A110" s="1783"/>
      <c s="1783"/>
      <c s="372" t="s">
        <v>1154</v>
      </c>
      <c s="2465"/>
      <c s="2207"/>
      <c s="2386"/>
      <c s="403"/>
      <c s="1503"/>
      <c s="654"/>
      <c s="574"/>
      <c s="1503"/>
      <c s="217"/>
      <c s="344"/>
      <c s="337"/>
      <c s="1627"/>
      <c s="1627"/>
      <c r="AH110" s="1634">
        <v>0</v>
      </c>
    </row>
    <row r="111" spans="1:34" s="1638" customFormat="1" ht="18.75" customHeight="1" hidden="1">
      <c r="A111" s="1783" t="s">
        <v>205</v>
      </c>
      <c s="1783" t="s">
        <v>206</v>
      </c>
      <c s="372"/>
      <c s="2465"/>
      <c s="2207"/>
      <c s="2386" t="str">
        <f>INDEX(PT_DIFFERENTIATION_VTAR,MATCH(A111,PT_DIFFERENTIATION_VTAR_ID,0))</f>
        <v>Плата за подключение (технологическое присоединение) к системе теплоснабжения (индивидуальная)</v>
      </c>
      <c s="2430" t="str">
        <f>INDEX(PT_DIFFERENTIATION_NTAR,MATCH(B111,PT_DIFFERENTIATION_NTAR_ID,0))</f>
        <v/>
      </c>
      <c s="1992"/>
      <c s="1742"/>
      <c s="1776"/>
      <c s="1781"/>
      <c s="1992" t="s">
        <v>306</v>
      </c>
      <c s="344"/>
      <c s="337"/>
      <c s="1627"/>
      <c s="1627"/>
      <c r="AH111" s="1634">
        <v>0</v>
      </c>
    </row>
    <row r="112" spans="1:34" s="1638" customFormat="1" ht="18.75" customHeight="1" hidden="1">
      <c r="A112" s="1783"/>
      <c s="1783"/>
      <c s="372" t="s">
        <v>1147</v>
      </c>
      <c s="2465"/>
      <c s="2207"/>
      <c s="2386"/>
      <c s="2430"/>
      <c s="1503"/>
      <c s="654" t="s">
        <v>1146</v>
      </c>
      <c s="574"/>
      <c s="1503"/>
      <c s="217"/>
      <c s="344"/>
      <c s="337"/>
      <c s="1627"/>
      <c s="1627"/>
      <c r="AH112" s="1634">
        <v>0</v>
      </c>
    </row>
    <row r="113" spans="1:34" s="1638" customFormat="1" ht="0.75" customHeight="1" hidden="1">
      <c r="A113" s="1783"/>
      <c s="1783"/>
      <c s="372" t="s">
        <v>1154</v>
      </c>
      <c s="2465"/>
      <c s="2207"/>
      <c s="2386"/>
      <c s="403"/>
      <c s="1503"/>
      <c s="654"/>
      <c s="574"/>
      <c s="1503"/>
      <c s="217"/>
      <c s="344"/>
      <c s="337"/>
      <c s="1627"/>
      <c s="1627"/>
      <c r="AH113" s="1634">
        <v>0</v>
      </c>
    </row>
    <row r="114" spans="1:34" s="1638" customFormat="1" ht="18.75" customHeight="1" hidden="1">
      <c r="A114" s="1783" t="s">
        <v>225</v>
      </c>
      <c s="1783" t="s">
        <v>226</v>
      </c>
      <c s="372"/>
      <c s="2465"/>
      <c s="2207"/>
      <c s="2386" t="str">
        <f>INDEX(PT_DIFFERENTIATION_VTAR,MATCH(A114,PT_DIFFERENTIATION_VTAR_ID,0))</f>
        <v>Тариф на питьевую воду (питьевое водоснабжение)</v>
      </c>
      <c s="2430" t="str">
        <f>INDEX(PT_DIFFERENTIATION_NTAR,MATCH(B114,PT_DIFFERENTIATION_NTAR_ID,0))</f>
        <v/>
      </c>
      <c s="1865"/>
      <c s="1742"/>
      <c s="1776"/>
      <c s="1781"/>
      <c s="1865" t="s">
        <v>306</v>
      </c>
      <c s="344"/>
      <c s="337"/>
      <c s="1627"/>
      <c s="1627"/>
      <c r="AH114" s="1634">
        <v>0</v>
      </c>
    </row>
    <row r="115" spans="1:34" s="1638" customFormat="1" ht="18.75" customHeight="1" hidden="1">
      <c r="A115" s="1783"/>
      <c s="1783"/>
      <c s="372" t="s">
        <v>1147</v>
      </c>
      <c s="2465"/>
      <c s="2207"/>
      <c s="2386"/>
      <c s="2430"/>
      <c s="1503"/>
      <c s="654" t="s">
        <v>1146</v>
      </c>
      <c s="574"/>
      <c s="1503"/>
      <c s="217"/>
      <c s="344"/>
      <c s="337"/>
      <c s="1627"/>
      <c s="1627"/>
      <c r="AH115" s="1634">
        <v>0</v>
      </c>
    </row>
    <row r="116" spans="1:34" s="1638" customFormat="1" ht="0.75" customHeight="1" hidden="1">
      <c r="A116" s="1783"/>
      <c s="1783"/>
      <c s="372" t="s">
        <v>1154</v>
      </c>
      <c s="2465"/>
      <c s="2207"/>
      <c s="2386"/>
      <c s="403"/>
      <c s="1503"/>
      <c s="654"/>
      <c s="574"/>
      <c s="1503"/>
      <c s="217"/>
      <c s="344"/>
      <c s="337"/>
      <c s="1627"/>
      <c s="1627"/>
      <c r="AH116" s="1634">
        <v>0</v>
      </c>
    </row>
    <row r="117" spans="1:34" s="1638" customFormat="1" ht="18.75" customHeight="1" hidden="1">
      <c r="A117" s="1783" t="s">
        <v>230</v>
      </c>
      <c s="1783" t="s">
        <v>231</v>
      </c>
      <c s="372"/>
      <c s="2465"/>
      <c s="2207"/>
      <c s="2386" t="str">
        <f>INDEX(PT_DIFFERENTIATION_VTAR,MATCH(A117,PT_DIFFERENTIATION_VTAR_ID,0))</f>
        <v>Тариф на техническую воду</v>
      </c>
      <c s="2430" t="str">
        <f>INDEX(PT_DIFFERENTIATION_NTAR,MATCH(B117,PT_DIFFERENTIATION_NTAR_ID,0))</f>
        <v/>
      </c>
      <c s="1865"/>
      <c s="1742"/>
      <c s="1776"/>
      <c s="1781"/>
      <c s="1865" t="s">
        <v>306</v>
      </c>
      <c s="344"/>
      <c s="337"/>
      <c s="1627"/>
      <c s="1627"/>
      <c r="AH117" s="1634">
        <v>0</v>
      </c>
    </row>
    <row r="118" spans="1:34" s="1638" customFormat="1" ht="18.75" customHeight="1" hidden="1">
      <c r="A118" s="1783"/>
      <c s="1783"/>
      <c s="372" t="s">
        <v>1147</v>
      </c>
      <c s="2465"/>
      <c s="2207"/>
      <c s="2386"/>
      <c s="2430"/>
      <c s="1503"/>
      <c s="654" t="s">
        <v>1146</v>
      </c>
      <c s="574"/>
      <c s="1503"/>
      <c s="217"/>
      <c s="344"/>
      <c s="337"/>
      <c s="1627"/>
      <c s="1627"/>
      <c r="AH118" s="1634">
        <v>0</v>
      </c>
    </row>
    <row r="119" spans="1:34" s="1638" customFormat="1" ht="0.75" customHeight="1" hidden="1">
      <c r="A119" s="1783"/>
      <c s="1783"/>
      <c s="372" t="s">
        <v>1154</v>
      </c>
      <c s="2465"/>
      <c s="2207"/>
      <c s="2386"/>
      <c s="403"/>
      <c s="1503"/>
      <c s="654"/>
      <c s="574"/>
      <c s="1503"/>
      <c s="217"/>
      <c s="344"/>
      <c s="337"/>
      <c s="1627"/>
      <c s="1627"/>
      <c r="AH119" s="1634">
        <v>0</v>
      </c>
    </row>
    <row r="120" spans="1:34" s="1638" customFormat="1" ht="18.75" customHeight="1" hidden="1">
      <c r="A120" s="1783" t="s">
        <v>235</v>
      </c>
      <c s="1783" t="s">
        <v>236</v>
      </c>
      <c s="372"/>
      <c s="2465"/>
      <c s="2207"/>
      <c s="2386" t="str">
        <f>INDEX(PT_DIFFERENTIATION_VTAR,MATCH(A120,PT_DIFFERENTIATION_VTAR_ID,0))</f>
        <v>Тариф на транспортировку воды</v>
      </c>
      <c s="2430" t="str">
        <f>INDEX(PT_DIFFERENTIATION_NTAR,MATCH(B120,PT_DIFFERENTIATION_NTAR_ID,0))</f>
        <v/>
      </c>
      <c s="1865"/>
      <c s="1742"/>
      <c s="1776"/>
      <c s="1781"/>
      <c s="1865" t="s">
        <v>306</v>
      </c>
      <c s="344"/>
      <c s="337"/>
      <c s="1627"/>
      <c s="1627"/>
      <c r="AH120" s="1634">
        <v>0</v>
      </c>
    </row>
    <row r="121" spans="1:34" s="1638" customFormat="1" ht="18.75" customHeight="1" hidden="1">
      <c r="A121" s="1783"/>
      <c s="1783"/>
      <c s="372" t="s">
        <v>1147</v>
      </c>
      <c s="2465"/>
      <c s="2207"/>
      <c s="2386"/>
      <c s="2430"/>
      <c s="1503"/>
      <c s="654" t="s">
        <v>1146</v>
      </c>
      <c s="574"/>
      <c s="1503"/>
      <c s="217"/>
      <c s="344"/>
      <c s="337"/>
      <c s="1627"/>
      <c s="1627"/>
      <c r="AH121" s="1634">
        <v>0</v>
      </c>
    </row>
    <row r="122" spans="1:34" s="1638" customFormat="1" ht="0.75" customHeight="1" hidden="1">
      <c r="A122" s="1783"/>
      <c s="1783"/>
      <c s="372" t="s">
        <v>1154</v>
      </c>
      <c s="2465"/>
      <c s="2207"/>
      <c s="2386"/>
      <c s="403"/>
      <c s="1503"/>
      <c s="654"/>
      <c s="574"/>
      <c s="1503"/>
      <c s="217"/>
      <c s="344"/>
      <c s="337"/>
      <c s="1627"/>
      <c s="1627"/>
      <c r="AH122" s="1634">
        <v>0</v>
      </c>
    </row>
    <row r="123" spans="1:34" s="1638" customFormat="1" ht="18.75" customHeight="1" hidden="1">
      <c r="A123" s="1783" t="s">
        <v>240</v>
      </c>
      <c s="1783" t="s">
        <v>241</v>
      </c>
      <c s="372"/>
      <c s="2465"/>
      <c s="2207"/>
      <c s="2386" t="str">
        <f>INDEX(PT_DIFFERENTIATION_VTAR,MATCH(A123,PT_DIFFERENTIATION_VTAR_ID,0))</f>
        <v>Тариф на подвоз воды</v>
      </c>
      <c s="2430" t="str">
        <f>INDEX(PT_DIFFERENTIATION_NTAR,MATCH(B123,PT_DIFFERENTIATION_NTAR_ID,0))</f>
        <v/>
      </c>
      <c s="1865"/>
      <c s="1742"/>
      <c s="1776"/>
      <c s="1781"/>
      <c s="1865" t="s">
        <v>306</v>
      </c>
      <c s="344"/>
      <c s="337"/>
      <c s="1627"/>
      <c s="1627"/>
      <c r="AH123" s="1634">
        <v>0</v>
      </c>
    </row>
    <row r="124" spans="1:34" s="1638" customFormat="1" ht="18.75" customHeight="1" hidden="1">
      <c r="A124" s="1783"/>
      <c s="1783"/>
      <c s="372" t="s">
        <v>1147</v>
      </c>
      <c s="2465"/>
      <c s="2207"/>
      <c s="2386"/>
      <c s="2430"/>
      <c s="1503"/>
      <c s="654" t="s">
        <v>1146</v>
      </c>
      <c s="574"/>
      <c s="1503"/>
      <c s="217"/>
      <c s="344"/>
      <c s="337"/>
      <c s="1627"/>
      <c s="1627"/>
      <c r="AH124" s="1634">
        <v>0</v>
      </c>
    </row>
    <row r="125" spans="1:34" s="1638" customFormat="1" ht="0.75" customHeight="1" hidden="1">
      <c r="A125" s="1783"/>
      <c s="1783"/>
      <c s="372" t="s">
        <v>1154</v>
      </c>
      <c s="2465"/>
      <c s="2207"/>
      <c s="2386"/>
      <c s="403"/>
      <c s="1503"/>
      <c s="654"/>
      <c s="574"/>
      <c s="1503"/>
      <c s="217"/>
      <c s="344"/>
      <c s="337"/>
      <c s="1627"/>
      <c s="1627"/>
      <c r="AH125" s="1634">
        <v>0</v>
      </c>
    </row>
    <row r="126" spans="1:34" s="1638" customFormat="1" ht="18.75" customHeight="1" hidden="1">
      <c r="A126" s="1783" t="s">
        <v>245</v>
      </c>
      <c s="1783" t="s">
        <v>246</v>
      </c>
      <c s="372"/>
      <c s="2465"/>
      <c s="2207"/>
      <c s="2386" t="str">
        <f>INDEX(PT_DIFFERENTIATION_VTAR,MATCH(A126,PT_DIFFERENTIATION_VTAR_ID,0))</f>
        <v>Тариф на подключение (технологическое присоединение) к централизованной системе холодного водоснабжения</v>
      </c>
      <c s="2430" t="str">
        <f>INDEX(PT_DIFFERENTIATION_NTAR,MATCH(B126,PT_DIFFERENTIATION_NTAR_ID,0))</f>
        <v/>
      </c>
      <c s="1865"/>
      <c s="1742"/>
      <c s="1776"/>
      <c s="1781"/>
      <c s="1865" t="s">
        <v>306</v>
      </c>
      <c s="344"/>
      <c s="337"/>
      <c s="1627"/>
      <c s="1627"/>
      <c r="AH126" s="1634">
        <v>0</v>
      </c>
    </row>
    <row r="127" spans="1:34" s="1638" customFormat="1" ht="18.75" customHeight="1" hidden="1">
      <c r="A127" s="1783"/>
      <c s="1783"/>
      <c s="372" t="s">
        <v>1147</v>
      </c>
      <c s="2465"/>
      <c s="2207"/>
      <c s="2386"/>
      <c s="2430"/>
      <c s="1503"/>
      <c s="654" t="s">
        <v>1146</v>
      </c>
      <c s="574"/>
      <c s="1503"/>
      <c s="217"/>
      <c s="344"/>
      <c s="337"/>
      <c s="1627"/>
      <c s="1627"/>
      <c r="AH127" s="1634">
        <v>0</v>
      </c>
    </row>
    <row r="128" spans="1:34" s="1638" customFormat="1" ht="0.75" customHeight="1" hidden="1">
      <c r="A128" s="1783"/>
      <c s="1783"/>
      <c s="372" t="s">
        <v>1154</v>
      </c>
      <c s="2465"/>
      <c s="2207"/>
      <c s="2386"/>
      <c s="403"/>
      <c s="1503"/>
      <c s="654"/>
      <c s="574"/>
      <c s="1503"/>
      <c s="217"/>
      <c s="344"/>
      <c s="337"/>
      <c s="1627"/>
      <c s="1627"/>
      <c r="AH128" s="1634">
        <v>0</v>
      </c>
    </row>
    <row r="129" spans="1:34" s="1638" customFormat="1" ht="18.75" customHeight="1" hidden="1">
      <c r="A129" s="1783" t="s">
        <v>250</v>
      </c>
      <c s="1783" t="s">
        <v>251</v>
      </c>
      <c s="372"/>
      <c s="2465"/>
      <c s="2207"/>
      <c s="2386" t="str">
        <f>INDEX(PT_DIFFERENTIATION_VTAR,MATCH(A129,PT_DIFFERENTIATION_VTAR_ID,0))</f>
        <v>Тариф на горячую воду (горячее водоснабжение)</v>
      </c>
      <c s="2430" t="str">
        <f>INDEX(PT_DIFFERENTIATION_NTAR,MATCH(B129,PT_DIFFERENTIATION_NTAR_ID,0))</f>
        <v/>
      </c>
      <c s="1865"/>
      <c s="1742"/>
      <c s="1776"/>
      <c s="1781"/>
      <c s="1865" t="s">
        <v>306</v>
      </c>
      <c s="344"/>
      <c s="337"/>
      <c s="1627"/>
      <c s="1627"/>
      <c r="AH129" s="1634">
        <v>0</v>
      </c>
    </row>
    <row r="130" spans="1:34" s="1638" customFormat="1" ht="18.75" customHeight="1" hidden="1">
      <c r="A130" s="1783"/>
      <c s="1783"/>
      <c s="372" t="s">
        <v>1147</v>
      </c>
      <c s="2465"/>
      <c s="2207"/>
      <c s="2386"/>
      <c s="2430"/>
      <c s="1503"/>
      <c s="654" t="s">
        <v>1146</v>
      </c>
      <c s="574"/>
      <c s="1503"/>
      <c s="217"/>
      <c s="344"/>
      <c s="337"/>
      <c s="1627"/>
      <c s="1627"/>
      <c r="AH130" s="1634">
        <v>0</v>
      </c>
    </row>
    <row r="131" spans="1:34" s="1638" customFormat="1" ht="0.75" customHeight="1" hidden="1">
      <c r="A131" s="1783"/>
      <c s="1783"/>
      <c s="372" t="s">
        <v>1154</v>
      </c>
      <c s="2465"/>
      <c s="2207"/>
      <c s="2386"/>
      <c s="403"/>
      <c s="1503"/>
      <c s="654"/>
      <c s="574"/>
      <c s="1503"/>
      <c s="217"/>
      <c s="344"/>
      <c s="337"/>
      <c s="1627"/>
      <c s="1627"/>
      <c r="AH131" s="1634">
        <v>0</v>
      </c>
    </row>
    <row r="132" spans="1:34" s="1638" customFormat="1" ht="18.75" customHeight="1" hidden="1">
      <c r="A132" s="1783" t="s">
        <v>255</v>
      </c>
      <c s="1783" t="s">
        <v>256</v>
      </c>
      <c s="372"/>
      <c s="2465"/>
      <c s="2207"/>
      <c s="2386" t="str">
        <f>INDEX(PT_DIFFERENTIATION_VTAR,MATCH(A132,PT_DIFFERENTIATION_VTAR_ID,0))</f>
        <v>Тариф на транспортировку горячей воды</v>
      </c>
      <c s="2430" t="str">
        <f>INDEX(PT_DIFFERENTIATION_NTAR,MATCH(B132,PT_DIFFERENTIATION_NTAR_ID,0))</f>
        <v/>
      </c>
      <c s="1865"/>
      <c s="1742"/>
      <c s="1776"/>
      <c s="1781"/>
      <c s="1865" t="s">
        <v>306</v>
      </c>
      <c s="344"/>
      <c s="337"/>
      <c s="1627"/>
      <c s="1627"/>
      <c r="AH132" s="1634">
        <v>0</v>
      </c>
    </row>
    <row r="133" spans="1:34" s="1638" customFormat="1" ht="18.75" customHeight="1" hidden="1">
      <c r="A133" s="1783"/>
      <c s="1783"/>
      <c s="372" t="s">
        <v>1147</v>
      </c>
      <c s="2465"/>
      <c s="2207"/>
      <c s="2386"/>
      <c s="2430"/>
      <c s="1503"/>
      <c s="654" t="s">
        <v>1146</v>
      </c>
      <c s="574"/>
      <c s="1503"/>
      <c s="217"/>
      <c s="344"/>
      <c s="337"/>
      <c s="1627"/>
      <c s="1627"/>
      <c r="AH133" s="1634">
        <v>0</v>
      </c>
    </row>
    <row r="134" spans="1:34" s="1638" customFormat="1" ht="0.75" customHeight="1" hidden="1">
      <c r="A134" s="1783"/>
      <c s="1783"/>
      <c s="372" t="s">
        <v>1154</v>
      </c>
      <c s="2465"/>
      <c s="2207"/>
      <c s="2386"/>
      <c s="403"/>
      <c s="1503"/>
      <c s="654"/>
      <c s="574"/>
      <c s="1503"/>
      <c s="217"/>
      <c s="344"/>
      <c s="337"/>
      <c s="1627"/>
      <c s="1627"/>
      <c r="AH134" s="1634">
        <v>0</v>
      </c>
    </row>
    <row r="135" spans="1:34" s="1638" customFormat="1" ht="18.75" customHeight="1" hidden="1">
      <c r="A135" s="1783" t="s">
        <v>260</v>
      </c>
      <c s="1783" t="s">
        <v>261</v>
      </c>
      <c s="372"/>
      <c s="2465"/>
      <c s="2207"/>
      <c s="2386" t="str">
        <f>INDEX(PT_DIFFERENTIATION_VTAR,MATCH(A135,PT_DIFFERENTIATION_VTAR_ID,0))</f>
        <v>Тариф на подключение (технологическое присоединение) к централизованной системе горячего водоснабжения</v>
      </c>
      <c s="2430" t="str">
        <f>INDEX(PT_DIFFERENTIATION_NTAR,MATCH(B135,PT_DIFFERENTIATION_NTAR_ID,0))</f>
        <v/>
      </c>
      <c s="1865"/>
      <c s="1742"/>
      <c s="1776"/>
      <c s="1781"/>
      <c s="1865" t="s">
        <v>306</v>
      </c>
      <c s="344"/>
      <c s="337"/>
      <c s="1627"/>
      <c s="1627"/>
      <c r="AH135" s="1634">
        <v>0</v>
      </c>
    </row>
    <row r="136" spans="1:34" s="1638" customFormat="1" ht="18.75" customHeight="1" hidden="1">
      <c r="A136" s="1783"/>
      <c s="1783"/>
      <c s="372" t="s">
        <v>1147</v>
      </c>
      <c s="2465"/>
      <c s="2207"/>
      <c s="2386"/>
      <c s="2430"/>
      <c s="1503"/>
      <c s="654" t="s">
        <v>1146</v>
      </c>
      <c s="574"/>
      <c s="1503"/>
      <c s="217"/>
      <c s="344"/>
      <c s="337"/>
      <c s="1627"/>
      <c s="1627"/>
      <c r="AH136" s="1634">
        <v>0</v>
      </c>
    </row>
    <row r="137" spans="1:34" s="1638" customFormat="1" ht="0.75" customHeight="1" hidden="1">
      <c r="A137" s="1783"/>
      <c s="1783"/>
      <c s="372" t="s">
        <v>1154</v>
      </c>
      <c s="2465"/>
      <c s="2207"/>
      <c s="2386"/>
      <c s="403"/>
      <c s="1503"/>
      <c s="654"/>
      <c s="574"/>
      <c s="1503"/>
      <c s="217"/>
      <c s="344"/>
      <c s="337"/>
      <c s="1627"/>
      <c s="1627"/>
      <c r="AH137" s="1634">
        <v>0</v>
      </c>
    </row>
    <row r="138" spans="1:34" s="1638" customFormat="1" ht="18.75" customHeight="1" hidden="1">
      <c r="A138" s="1783" t="s">
        <v>265</v>
      </c>
      <c s="1783" t="s">
        <v>266</v>
      </c>
      <c s="372"/>
      <c s="2465"/>
      <c s="2207"/>
      <c s="2386" t="str">
        <f>INDEX(PT_DIFFERENTIATION_VTAR,MATCH(A138,PT_DIFFERENTIATION_VTAR_ID,0))</f>
        <v>Тариф на водоотведение</v>
      </c>
      <c s="2430" t="str">
        <f>INDEX(PT_DIFFERENTIATION_NTAR,MATCH(B138,PT_DIFFERENTIATION_NTAR_ID,0))</f>
        <v/>
      </c>
      <c s="1865"/>
      <c s="1742"/>
      <c s="1776"/>
      <c s="1781"/>
      <c s="1865" t="s">
        <v>306</v>
      </c>
      <c s="344"/>
      <c s="337"/>
      <c s="1627"/>
      <c s="1627"/>
      <c r="AH138" s="1634">
        <v>0</v>
      </c>
    </row>
    <row r="139" spans="1:34" s="1638" customFormat="1" ht="18.75" customHeight="1" hidden="1">
      <c r="A139" s="1783"/>
      <c s="1783"/>
      <c s="372" t="s">
        <v>1147</v>
      </c>
      <c s="2465"/>
      <c s="2207"/>
      <c s="2386"/>
      <c s="2430"/>
      <c s="1503"/>
      <c s="654" t="s">
        <v>1146</v>
      </c>
      <c s="574"/>
      <c s="1503"/>
      <c s="217"/>
      <c s="344"/>
      <c s="337"/>
      <c s="1627"/>
      <c s="1627"/>
      <c r="AH139" s="1634">
        <v>0</v>
      </c>
    </row>
    <row r="140" spans="1:34" s="1638" customFormat="1" ht="0.75" customHeight="1" hidden="1">
      <c r="A140" s="1783"/>
      <c s="1783"/>
      <c s="372" t="s">
        <v>1154</v>
      </c>
      <c s="2465"/>
      <c s="2207"/>
      <c s="2386"/>
      <c s="403"/>
      <c s="1503"/>
      <c s="654"/>
      <c s="574"/>
      <c s="1503"/>
      <c s="217"/>
      <c s="344"/>
      <c s="337"/>
      <c s="1627"/>
      <c s="1627"/>
      <c r="AH140" s="1634">
        <v>0</v>
      </c>
    </row>
    <row r="141" spans="1:34" s="1638" customFormat="1" ht="18.75" customHeight="1" hidden="1">
      <c r="A141" s="1783" t="s">
        <v>270</v>
      </c>
      <c s="1783" t="s">
        <v>271</v>
      </c>
      <c s="372"/>
      <c s="2465"/>
      <c s="2207"/>
      <c s="2386" t="str">
        <f>INDEX(PT_DIFFERENTIATION_VTAR,MATCH(A141,PT_DIFFERENTIATION_VTAR_ID,0))</f>
        <v>Тариф на транспортировку сточных вод</v>
      </c>
      <c s="2430" t="str">
        <f>INDEX(PT_DIFFERENTIATION_NTAR,MATCH(B141,PT_DIFFERENTIATION_NTAR_ID,0))</f>
        <v/>
      </c>
      <c s="1865"/>
      <c s="1742"/>
      <c s="1776"/>
      <c s="1781"/>
      <c s="1865" t="s">
        <v>306</v>
      </c>
      <c s="344"/>
      <c s="337"/>
      <c s="1627"/>
      <c s="1627"/>
      <c r="AH141" s="1634">
        <v>0</v>
      </c>
    </row>
    <row r="142" spans="1:34" s="1638" customFormat="1" ht="18.75" customHeight="1" hidden="1">
      <c r="A142" s="1783"/>
      <c s="1783"/>
      <c s="372" t="s">
        <v>1147</v>
      </c>
      <c s="2465"/>
      <c s="2207"/>
      <c s="2386"/>
      <c s="2430"/>
      <c s="1503"/>
      <c s="654" t="s">
        <v>1146</v>
      </c>
      <c s="574"/>
      <c s="1503"/>
      <c s="217"/>
      <c s="344"/>
      <c s="337"/>
      <c s="1627"/>
      <c s="1627"/>
      <c r="AH142" s="1634">
        <v>0</v>
      </c>
    </row>
    <row r="143" spans="1:34" s="1638" customFormat="1" ht="0.75" customHeight="1" hidden="1">
      <c r="A143" s="1783"/>
      <c s="1783"/>
      <c s="372" t="s">
        <v>1154</v>
      </c>
      <c s="2465"/>
      <c s="2207"/>
      <c s="2386"/>
      <c s="403"/>
      <c s="1503"/>
      <c s="654"/>
      <c s="574"/>
      <c s="1503"/>
      <c s="217"/>
      <c s="344"/>
      <c s="337"/>
      <c s="1627"/>
      <c s="1627"/>
      <c r="AH143" s="1634">
        <v>0</v>
      </c>
    </row>
    <row r="144" spans="1:34" s="1638" customFormat="1" ht="18.75" customHeight="1" hidden="1">
      <c r="A144" s="1783" t="s">
        <v>275</v>
      </c>
      <c s="1783" t="s">
        <v>276</v>
      </c>
      <c s="372"/>
      <c s="2465"/>
      <c s="2207"/>
      <c s="2386" t="str">
        <f>INDEX(PT_DIFFERENTIATION_VTAR,MATCH(A144,PT_DIFFERENTIATION_VTAR_ID,0))</f>
        <v>Тариф на подключение (технологическое присоединение) к централизованной системе водоотведения</v>
      </c>
      <c s="2430" t="str">
        <f>INDEX(PT_DIFFERENTIATION_NTAR,MATCH(B144,PT_DIFFERENTIATION_NTAR_ID,0))</f>
        <v/>
      </c>
      <c s="1865"/>
      <c s="1742"/>
      <c s="1776"/>
      <c s="1781"/>
      <c s="1865" t="s">
        <v>306</v>
      </c>
      <c s="344"/>
      <c s="337"/>
      <c s="1627"/>
      <c s="1627"/>
      <c r="AH144" s="1634">
        <v>0</v>
      </c>
    </row>
    <row r="145" spans="1:34" s="1638" customFormat="1" ht="18.75" customHeight="1" hidden="1">
      <c r="A145" s="1783"/>
      <c s="1783"/>
      <c s="372" t="s">
        <v>1147</v>
      </c>
      <c s="2465"/>
      <c s="2207"/>
      <c s="2386"/>
      <c s="2430"/>
      <c s="1503"/>
      <c s="654" t="s">
        <v>1146</v>
      </c>
      <c s="574"/>
      <c s="1503"/>
      <c s="217"/>
      <c s="344"/>
      <c s="337"/>
      <c s="1627"/>
      <c s="1627"/>
      <c r="AH145" s="1634">
        <v>0</v>
      </c>
    </row>
    <row r="146" spans="1:34" s="1638" customFormat="1" ht="1.05" customHeight="1">
      <c r="A146" s="1783"/>
      <c s="1783"/>
      <c s="372" t="s">
        <v>1154</v>
      </c>
      <c s="2465"/>
      <c s="2207"/>
      <c s="2386"/>
      <c s="403"/>
      <c s="1503"/>
      <c s="654"/>
      <c s="574"/>
      <c s="1503"/>
      <c s="217"/>
      <c s="344"/>
      <c s="337"/>
      <c s="1627"/>
      <c s="1627"/>
      <c r="AH146" s="1634">
        <v>1</v>
      </c>
    </row>
    <row r="147" spans="1:34" ht="19.95" customHeight="1">
      <c r="A147" s="1783"/>
      <c s="1783"/>
      <c r="D147" s="379"/>
      <c s="150" t="s">
        <v>90</v>
      </c>
      <c s="2463" t="str">
        <f>"Годовой объем "&amp;IF(TEMPLATE_SPHERE="HEAT","полезного отпуска тепловой энергии (теплоносителя)",IF(TEMPLATE_SPHERE="VOTV","принятых сточных вод","отпущенной "&amp;IF(TEMPLATE_SPHERE="COLDVSNA","потребителям воды","в сеть горячей воды")))</f>
        <v>Годовой объем принятых сточных вод</v>
      </c>
      <c s="2463"/>
      <c s="2463"/>
      <c s="2463"/>
      <c s="2463"/>
      <c s="2463"/>
      <c s="2463"/>
      <c s="300"/>
      <c s="337"/>
      <c r="AH147" s="377">
        <v>19</v>
      </c>
    </row>
    <row r="148" spans="1:34" s="1638" customFormat="1" ht="60.75" customHeight="1" hidden="1">
      <c r="A148" s="1783" t="s">
        <v>157</v>
      </c>
      <c s="1783" t="s">
        <v>158</v>
      </c>
      <c s="372"/>
      <c s="2465"/>
      <c s="2207"/>
      <c s="2386" t="str">
        <f>INDEX(PT_DIFFERENTIATION_VTAR,MATCH(A148,PT_DIFFERENTIATION_VTAR_ID,0))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s="2430" t="str">
        <f>INDEX(PT_DIFFERENTIATION_NTAR,MATCH(B148,PT_DIFFERENTIATION_NTAR_ID,0))</f>
        <v/>
      </c>
      <c s="1865"/>
      <c s="1742"/>
      <c s="1776"/>
      <c s="1781"/>
      <c s="1865" t="s">
        <v>306</v>
      </c>
      <c s="2172"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годового объема "&amp;IF(TEMPLATE_SPHERE="HEAT","полезного отпуска тепловой энергии (теплоносителя)","отпущенной потребителям воды")&amp;" указывается в колонке «Информация» в тыс. "&amp;IF(TEMPLATE_SPHERE="HEAT","Гкал","куб. м.")&amp;"
В случае дифференциации "&amp;IF(TEMPLATE_SPHERE="HEAT","полезного отпуска тепловой энергии (теплоносителя)","отпущенной потребителям воды")&amp;"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водоотведения,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годового объема отпущенной потребителям воды указывается в колонке «Информация» в тыс. куб. м.
В случае дифференциации отпущенной потребителям воды по видам тарифов и (или) по срокам действия тарифов информация указывается в отдельных строках.</v>
      </c>
      <c s="337"/>
      <c s="1627"/>
      <c s="1627"/>
      <c r="AH148" s="1634">
        <v>0</v>
      </c>
    </row>
    <row r="149" spans="1:34" s="1638" customFormat="1" ht="18.75" customHeight="1" hidden="1">
      <c r="A149" s="1783"/>
      <c s="1783"/>
      <c s="372" t="s">
        <v>1147</v>
      </c>
      <c s="2465"/>
      <c s="2207"/>
      <c s="2386"/>
      <c s="2430"/>
      <c s="1503"/>
      <c s="654" t="s">
        <v>1146</v>
      </c>
      <c s="574"/>
      <c s="1503"/>
      <c s="217"/>
      <c s="2173"/>
      <c s="337"/>
      <c s="1627"/>
      <c s="1627"/>
      <c r="AH149" s="1634">
        <v>0</v>
      </c>
    </row>
    <row r="150" spans="1:34" s="1638" customFormat="1" ht="0.75" customHeight="1" hidden="1">
      <c r="A150" s="1783"/>
      <c s="1783"/>
      <c s="372" t="s">
        <v>1154</v>
      </c>
      <c s="2465"/>
      <c s="2207"/>
      <c s="2386"/>
      <c s="403"/>
      <c s="1503"/>
      <c s="654"/>
      <c s="574"/>
      <c s="1503"/>
      <c s="217"/>
      <c s="2173"/>
      <c s="337"/>
      <c s="1627"/>
      <c s="1627"/>
      <c r="AH150" s="1634">
        <v>0</v>
      </c>
    </row>
    <row r="151" spans="1:34" s="1638" customFormat="1" ht="45" customHeight="1" hidden="1">
      <c r="A151" s="1783" t="s">
        <v>162</v>
      </c>
      <c s="1783" t="s">
        <v>163</v>
      </c>
      <c s="372"/>
      <c s="2465"/>
      <c s="2207"/>
      <c s="2386" t="str">
        <f>INDEX(PT_DIFFERENTIATION_VTAR,MATCH(A151,PT_DIFFERENTIATION_VTAR_ID,0))</f>
        <v/>
      </c>
      <c s="2430" t="str">
        <f>INDEX(PT_DIFFERENTIATION_NTAR,MATCH(B151,PT_DIFFERENTIATION_NTAR_ID,0))</f>
        <v/>
      </c>
      <c s="1865"/>
      <c s="1742"/>
      <c s="1776"/>
      <c s="1781"/>
      <c s="1865" t="s">
        <v>306</v>
      </c>
      <c s="2174"/>
      <c s="337"/>
      <c s="1627"/>
      <c s="1627"/>
      <c r="AH151" s="1634">
        <v>0</v>
      </c>
    </row>
    <row r="152" spans="1:34" s="1638" customFormat="1" ht="18.75" customHeight="1" hidden="1">
      <c r="A152" s="1783"/>
      <c s="1783"/>
      <c s="372" t="s">
        <v>1147</v>
      </c>
      <c s="2465"/>
      <c s="2207"/>
      <c s="2386"/>
      <c s="2430"/>
      <c s="1503"/>
      <c s="654" t="s">
        <v>1146</v>
      </c>
      <c s="574"/>
      <c s="1503"/>
      <c s="217"/>
      <c s="1864"/>
      <c s="337"/>
      <c s="1627"/>
      <c s="1627"/>
      <c r="AH152" s="1634">
        <v>0</v>
      </c>
    </row>
    <row r="153" spans="1:34" s="1638" customFormat="1" ht="0.75" customHeight="1" hidden="1">
      <c r="A153" s="1783"/>
      <c s="1783"/>
      <c s="372" t="s">
        <v>1154</v>
      </c>
      <c s="2465"/>
      <c s="2207"/>
      <c s="2386"/>
      <c s="403"/>
      <c s="1503"/>
      <c s="654"/>
      <c s="574"/>
      <c s="1503"/>
      <c s="217"/>
      <c s="344"/>
      <c s="337"/>
      <c s="1627"/>
      <c s="1627"/>
      <c r="AH153" s="1634">
        <v>0</v>
      </c>
    </row>
    <row r="154" spans="1:34" s="1638" customFormat="1" ht="45" customHeight="1" hidden="1">
      <c r="A154" s="1783" t="s">
        <v>169</v>
      </c>
      <c s="1783" t="s">
        <v>170</v>
      </c>
      <c s="372"/>
      <c s="2465"/>
      <c s="2207"/>
      <c s="2386" t="str">
        <f>INDEX(PT_DIFFERENTIATION_VTAR,MATCH(A154,PT_DIFFERENTIATION_VTAR_ID,0))</f>
        <v>Тарифы на теплоноситель, поставляемый теплоснабжающими организациями потребителям, другим теплоснабжающим организациям</v>
      </c>
      <c s="2430" t="str">
        <f>INDEX(PT_DIFFERENTIATION_NTAR,MATCH(B154,PT_DIFFERENTIATION_NTAR_ID,0))</f>
        <v/>
      </c>
      <c s="1865"/>
      <c s="1742"/>
      <c s="1776"/>
      <c s="1781"/>
      <c s="1865" t="s">
        <v>306</v>
      </c>
      <c s="344"/>
      <c s="337"/>
      <c s="1627"/>
      <c s="1627"/>
      <c r="AH154" s="1634">
        <v>0</v>
      </c>
    </row>
    <row r="155" spans="1:34" s="1638" customFormat="1" ht="18.75" customHeight="1" hidden="1">
      <c r="A155" s="1783"/>
      <c s="1783"/>
      <c s="372" t="s">
        <v>1147</v>
      </c>
      <c s="2465"/>
      <c s="2207"/>
      <c s="2386"/>
      <c s="2430"/>
      <c s="1503"/>
      <c s="654" t="s">
        <v>1146</v>
      </c>
      <c s="574"/>
      <c s="1503"/>
      <c s="217"/>
      <c s="344"/>
      <c s="337"/>
      <c s="1627"/>
      <c s="1627"/>
      <c r="AH155" s="1634">
        <v>0</v>
      </c>
    </row>
    <row r="156" spans="1:34" s="1638" customFormat="1" ht="0.75" customHeight="1" hidden="1">
      <c r="A156" s="1783"/>
      <c s="1783"/>
      <c s="372" t="s">
        <v>1154</v>
      </c>
      <c s="2465"/>
      <c s="2207"/>
      <c s="2386"/>
      <c s="403"/>
      <c s="1503"/>
      <c s="654"/>
      <c s="574"/>
      <c s="1503"/>
      <c s="217"/>
      <c s="344"/>
      <c s="337"/>
      <c s="1627"/>
      <c s="1627"/>
      <c r="AH156" s="1634">
        <v>0</v>
      </c>
    </row>
    <row r="157" spans="1:34" s="1638" customFormat="1" ht="45" customHeight="1" hidden="1">
      <c r="A157" s="1783" t="s">
        <v>175</v>
      </c>
      <c s="1783" t="s">
        <v>176</v>
      </c>
      <c s="372"/>
      <c s="2465"/>
      <c s="2207"/>
      <c s="2386" t="str">
        <f>INDEX(PT_DIFFERENTIATION_VTAR,MATCH(A157,PT_DIFFERENTIATION_VTAR_ID,0))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s="2430" t="str">
        <f>INDEX(PT_DIFFERENTIATION_NTAR,MATCH(B157,PT_DIFFERENTIATION_NTAR_ID,0))</f>
        <v/>
      </c>
      <c s="1865"/>
      <c s="1742"/>
      <c s="1776"/>
      <c s="1781"/>
      <c s="1865" t="s">
        <v>306</v>
      </c>
      <c s="344"/>
      <c s="337"/>
      <c s="1627"/>
      <c s="1627"/>
      <c r="AH157" s="1634">
        <v>0</v>
      </c>
    </row>
    <row r="158" spans="1:34" s="1638" customFormat="1" ht="18.75" customHeight="1" hidden="1">
      <c r="A158" s="1783"/>
      <c s="1783"/>
      <c s="372" t="s">
        <v>1147</v>
      </c>
      <c s="2465"/>
      <c s="2207"/>
      <c s="2386"/>
      <c s="2430"/>
      <c s="1503"/>
      <c s="654" t="s">
        <v>1146</v>
      </c>
      <c s="574"/>
      <c s="1503"/>
      <c s="217"/>
      <c s="344"/>
      <c s="337"/>
      <c s="1627"/>
      <c s="1627"/>
      <c r="AH158" s="1634">
        <v>0</v>
      </c>
    </row>
    <row r="159" spans="1:34" s="1638" customFormat="1" ht="0.75" customHeight="1" hidden="1">
      <c r="A159" s="1783"/>
      <c s="1783"/>
      <c s="372" t="s">
        <v>1154</v>
      </c>
      <c s="2465"/>
      <c s="2207"/>
      <c s="2386"/>
      <c s="403"/>
      <c s="1503"/>
      <c s="654"/>
      <c s="574"/>
      <c s="1503"/>
      <c s="217"/>
      <c s="344"/>
      <c s="337"/>
      <c s="1627"/>
      <c s="1627"/>
      <c r="AH159" s="1634">
        <v>0</v>
      </c>
    </row>
    <row r="160" spans="1:34" s="1638" customFormat="1" ht="18.75" customHeight="1" hidden="1">
      <c r="A160" s="1783" t="s">
        <v>181</v>
      </c>
      <c s="1783" t="s">
        <v>182</v>
      </c>
      <c s="372"/>
      <c s="2465"/>
      <c s="2207"/>
      <c s="2386" t="str">
        <f>INDEX(PT_DIFFERENTIATION_VTAR,MATCH(A160,PT_DIFFERENTIATION_VTAR_ID,0))</f>
        <v>Тарифы на услуги по передаче тепловой энергии</v>
      </c>
      <c s="2430" t="str">
        <f>INDEX(PT_DIFFERENTIATION_NTAR,MATCH(B160,PT_DIFFERENTIATION_NTAR_ID,0))</f>
        <v/>
      </c>
      <c s="1865"/>
      <c s="1742"/>
      <c s="1776"/>
      <c s="1781"/>
      <c s="1865" t="s">
        <v>306</v>
      </c>
      <c s="344"/>
      <c s="337"/>
      <c s="1627"/>
      <c s="1627"/>
      <c r="AH160" s="1634">
        <v>0</v>
      </c>
    </row>
    <row r="161" spans="1:34" s="1638" customFormat="1" ht="18.75" customHeight="1" hidden="1">
      <c r="A161" s="1783"/>
      <c s="1783"/>
      <c s="372" t="s">
        <v>1147</v>
      </c>
      <c s="2465"/>
      <c s="2207"/>
      <c s="2386"/>
      <c s="2430"/>
      <c s="1503"/>
      <c s="654" t="s">
        <v>1146</v>
      </c>
      <c s="574"/>
      <c s="1503"/>
      <c s="217"/>
      <c s="344"/>
      <c s="337"/>
      <c s="1627"/>
      <c s="1627"/>
      <c r="AH161" s="1634">
        <v>0</v>
      </c>
    </row>
    <row r="162" spans="1:34" s="1638" customFormat="1" ht="0.75" customHeight="1" hidden="1">
      <c r="A162" s="1783"/>
      <c s="1783"/>
      <c s="372" t="s">
        <v>1154</v>
      </c>
      <c s="2465"/>
      <c s="2207"/>
      <c s="2386"/>
      <c s="403"/>
      <c s="1503"/>
      <c s="654"/>
      <c s="574"/>
      <c s="1503"/>
      <c s="217"/>
      <c s="344"/>
      <c s="337"/>
      <c s="1627"/>
      <c s="1627"/>
      <c r="AH162" s="1634">
        <v>0</v>
      </c>
    </row>
    <row r="163" spans="1:34" s="1638" customFormat="1" ht="18.75" customHeight="1" hidden="1">
      <c r="A163" s="1783" t="s">
        <v>187</v>
      </c>
      <c s="1783" t="s">
        <v>188</v>
      </c>
      <c s="372"/>
      <c s="2465"/>
      <c s="2207"/>
      <c s="2386" t="str">
        <f>INDEX(PT_DIFFERENTIATION_VTAR,MATCH(A163,PT_DIFFERENTIATION_VTAR_ID,0))</f>
        <v>Тарифы на услуги по передаче теплоносителя</v>
      </c>
      <c s="2430" t="str">
        <f>INDEX(PT_DIFFERENTIATION_NTAR,MATCH(B163,PT_DIFFERENTIATION_NTAR_ID,0))</f>
        <v/>
      </c>
      <c s="1865"/>
      <c s="1742"/>
      <c s="1776"/>
      <c s="1781"/>
      <c s="1865" t="s">
        <v>306</v>
      </c>
      <c s="344"/>
      <c s="337"/>
      <c s="1627"/>
      <c s="1627"/>
      <c r="AH163" s="1634">
        <v>0</v>
      </c>
    </row>
    <row r="164" spans="1:34" s="1638" customFormat="1" ht="18.75" customHeight="1" hidden="1">
      <c r="A164" s="1783"/>
      <c s="1783"/>
      <c s="372" t="s">
        <v>1147</v>
      </c>
      <c s="2465"/>
      <c s="2207"/>
      <c s="2386"/>
      <c s="2430"/>
      <c s="1503"/>
      <c s="654" t="s">
        <v>1146</v>
      </c>
      <c s="574"/>
      <c s="1503"/>
      <c s="217"/>
      <c s="344"/>
      <c s="337"/>
      <c s="1627"/>
      <c s="1627"/>
      <c r="AH164" s="1634">
        <v>0</v>
      </c>
    </row>
    <row r="165" spans="1:34" s="1638" customFormat="1" ht="0.75" customHeight="1" hidden="1">
      <c r="A165" s="1783"/>
      <c s="1783"/>
      <c s="372" t="s">
        <v>1154</v>
      </c>
      <c s="2465"/>
      <c s="2207"/>
      <c s="2386"/>
      <c s="403"/>
      <c s="1503"/>
      <c s="654"/>
      <c s="574"/>
      <c s="1503"/>
      <c s="217"/>
      <c s="344"/>
      <c s="337"/>
      <c s="1627"/>
      <c s="1627"/>
      <c r="AH165" s="1634">
        <v>0</v>
      </c>
    </row>
    <row r="166" spans="1:34" s="1638" customFormat="1" ht="18.75" customHeight="1" hidden="1">
      <c r="A166" s="1783" t="s">
        <v>193</v>
      </c>
      <c s="1783" t="s">
        <v>194</v>
      </c>
      <c s="372"/>
      <c s="2465"/>
      <c s="2207"/>
      <c s="2386" t="str">
        <f>INDEX(PT_DIFFERENTIATION_VTAR,MATCH(A166,PT_DIFFERENTIATION_VTAR_ID,0))</f>
        <v>Плата за услуги по поддержанию резервной тепловой мощности при отсутствии потребления тепловой энергии</v>
      </c>
      <c s="2430" t="str">
        <f>INDEX(PT_DIFFERENTIATION_NTAR,MATCH(B166,PT_DIFFERENTIATION_NTAR_ID,0))</f>
        <v/>
      </c>
      <c s="1865"/>
      <c s="1742"/>
      <c s="1776"/>
      <c s="1781"/>
      <c s="1865" t="s">
        <v>306</v>
      </c>
      <c s="344"/>
      <c s="337"/>
      <c s="1627"/>
      <c s="1627"/>
      <c r="AH166" s="1634">
        <v>0</v>
      </c>
    </row>
    <row r="167" spans="1:34" s="1638" customFormat="1" ht="18.75" customHeight="1" hidden="1">
      <c r="A167" s="1783"/>
      <c s="1783"/>
      <c s="372" t="s">
        <v>1147</v>
      </c>
      <c s="2465"/>
      <c s="2207"/>
      <c s="2386"/>
      <c s="2430"/>
      <c s="1503"/>
      <c s="654" t="s">
        <v>1146</v>
      </c>
      <c s="574"/>
      <c s="1503"/>
      <c s="217"/>
      <c s="344"/>
      <c s="337"/>
      <c s="1627"/>
      <c s="1627"/>
      <c r="AH167" s="1634">
        <v>0</v>
      </c>
    </row>
    <row r="168" spans="1:34" s="1638" customFormat="1" ht="0.75" customHeight="1" hidden="1">
      <c r="A168" s="1783"/>
      <c s="1783"/>
      <c s="372" t="s">
        <v>1154</v>
      </c>
      <c s="2465"/>
      <c s="2207"/>
      <c s="2386"/>
      <c s="403"/>
      <c s="1503"/>
      <c s="654"/>
      <c s="574"/>
      <c s="1503"/>
      <c s="217"/>
      <c s="344"/>
      <c s="337"/>
      <c s="1627"/>
      <c s="1627"/>
      <c r="AH168" s="1634">
        <v>0</v>
      </c>
    </row>
    <row r="169" spans="1:34" s="1638" customFormat="1" ht="18.75" customHeight="1" hidden="1">
      <c r="A169" s="1783" t="s">
        <v>199</v>
      </c>
      <c s="1783" t="s">
        <v>200</v>
      </c>
      <c s="372"/>
      <c s="2465"/>
      <c s="2207"/>
      <c s="2386" t="str">
        <f>INDEX(PT_DIFFERENTIATION_VTAR,MATCH(A169,PT_DIFFERENTIATION_VTAR_ID,0))</f>
        <v>Плата за подключение (технологическое присоединение) к системе теплоснабжения</v>
      </c>
      <c s="2430" t="str">
        <f>INDEX(PT_DIFFERENTIATION_NTAR,MATCH(B169,PT_DIFFERENTIATION_NTAR_ID,0))</f>
        <v/>
      </c>
      <c s="1865"/>
      <c s="1742"/>
      <c s="1776"/>
      <c s="1781"/>
      <c s="1865" t="s">
        <v>306</v>
      </c>
      <c s="344"/>
      <c s="337"/>
      <c s="1627"/>
      <c s="1627"/>
      <c r="AH169" s="1634">
        <v>0</v>
      </c>
    </row>
    <row r="170" spans="1:34" s="1638" customFormat="1" ht="18.75" customHeight="1" hidden="1">
      <c r="A170" s="1783"/>
      <c s="1783"/>
      <c s="372" t="s">
        <v>1147</v>
      </c>
      <c s="2465"/>
      <c s="2207"/>
      <c s="2386"/>
      <c s="2430"/>
      <c s="1503"/>
      <c s="654" t="s">
        <v>1146</v>
      </c>
      <c s="574"/>
      <c s="1503"/>
      <c s="217"/>
      <c s="344"/>
      <c s="337"/>
      <c s="1627"/>
      <c s="1627"/>
      <c r="AH170" s="1634">
        <v>0</v>
      </c>
    </row>
    <row r="171" spans="1:34" s="1638" customFormat="1" ht="0.75" customHeight="1" hidden="1">
      <c r="A171" s="1783"/>
      <c s="1783"/>
      <c s="372" t="s">
        <v>1154</v>
      </c>
      <c s="2465"/>
      <c s="2207"/>
      <c s="2386"/>
      <c s="403"/>
      <c s="1503"/>
      <c s="654"/>
      <c s="574"/>
      <c s="1503"/>
      <c s="217"/>
      <c s="344"/>
      <c s="337"/>
      <c s="1627"/>
      <c s="1627"/>
      <c r="AH171" s="1634">
        <v>0</v>
      </c>
    </row>
    <row r="172" spans="1:34" s="1638" customFormat="1" ht="18.75" customHeight="1" hidden="1">
      <c r="A172" s="1783" t="s">
        <v>205</v>
      </c>
      <c s="1783" t="s">
        <v>206</v>
      </c>
      <c s="372"/>
      <c s="2465"/>
      <c s="2207"/>
      <c s="2386" t="str">
        <f>INDEX(PT_DIFFERENTIATION_VTAR,MATCH(A172,PT_DIFFERENTIATION_VTAR_ID,0))</f>
        <v>Плата за подключение (технологическое присоединение) к системе теплоснабжения (индивидуальная)</v>
      </c>
      <c s="2430" t="str">
        <f>INDEX(PT_DIFFERENTIATION_NTAR,MATCH(B172,PT_DIFFERENTIATION_NTAR_ID,0))</f>
        <v/>
      </c>
      <c s="1992"/>
      <c s="1742"/>
      <c s="1776"/>
      <c s="1781"/>
      <c s="1992" t="s">
        <v>306</v>
      </c>
      <c s="344"/>
      <c s="337"/>
      <c s="1627"/>
      <c s="1627"/>
      <c r="AH172" s="1634">
        <v>0</v>
      </c>
    </row>
    <row r="173" spans="1:34" s="1638" customFormat="1" ht="18.75" customHeight="1" hidden="1">
      <c r="A173" s="1783"/>
      <c s="1783"/>
      <c s="372" t="s">
        <v>1147</v>
      </c>
      <c s="2465"/>
      <c s="2207"/>
      <c s="2386"/>
      <c s="2430"/>
      <c s="1503"/>
      <c s="654" t="s">
        <v>1146</v>
      </c>
      <c s="574"/>
      <c s="1503"/>
      <c s="217"/>
      <c s="344"/>
      <c s="337"/>
      <c s="1627"/>
      <c s="1627"/>
      <c r="AH173" s="1634">
        <v>0</v>
      </c>
    </row>
    <row r="174" spans="1:34" s="1638" customFormat="1" ht="0.75" customHeight="1" hidden="1">
      <c r="A174" s="1783"/>
      <c s="1783"/>
      <c s="372" t="s">
        <v>1154</v>
      </c>
      <c s="2465"/>
      <c s="2207"/>
      <c s="2386"/>
      <c s="403"/>
      <c s="1503"/>
      <c s="654"/>
      <c s="574"/>
      <c s="1503"/>
      <c s="217"/>
      <c s="344"/>
      <c s="337"/>
      <c s="1627"/>
      <c s="1627"/>
      <c r="AH174" s="1634">
        <v>0</v>
      </c>
    </row>
    <row r="175" spans="1:34" s="1638" customFormat="1" ht="18.75" customHeight="1" hidden="1">
      <c r="A175" s="1783" t="s">
        <v>225</v>
      </c>
      <c s="1783" t="s">
        <v>226</v>
      </c>
      <c s="372"/>
      <c s="2465"/>
      <c s="2207"/>
      <c s="2386" t="str">
        <f>INDEX(PT_DIFFERENTIATION_VTAR,MATCH(A175,PT_DIFFERENTIATION_VTAR_ID,0))</f>
        <v>Тариф на питьевую воду (питьевое водоснабжение)</v>
      </c>
      <c s="2430" t="str">
        <f>INDEX(PT_DIFFERENTIATION_NTAR,MATCH(B175,PT_DIFFERENTIATION_NTAR_ID,0))</f>
        <v/>
      </c>
      <c s="1865"/>
      <c s="1742"/>
      <c s="1776"/>
      <c s="1781"/>
      <c s="1865" t="s">
        <v>306</v>
      </c>
      <c s="344"/>
      <c s="337"/>
      <c s="1627"/>
      <c s="1627"/>
      <c r="AH175" s="1634">
        <v>0</v>
      </c>
    </row>
    <row r="176" spans="1:34" s="1638" customFormat="1" ht="18.75" customHeight="1" hidden="1">
      <c r="A176" s="1783"/>
      <c s="1783"/>
      <c s="372" t="s">
        <v>1147</v>
      </c>
      <c s="2465"/>
      <c s="2207"/>
      <c s="2386"/>
      <c s="2430"/>
      <c s="1503"/>
      <c s="654" t="s">
        <v>1146</v>
      </c>
      <c s="574"/>
      <c s="1503"/>
      <c s="217"/>
      <c s="344"/>
      <c s="337"/>
      <c s="1627"/>
      <c s="1627"/>
      <c r="AH176" s="1634">
        <v>0</v>
      </c>
    </row>
    <row r="177" spans="1:34" s="1638" customFormat="1" ht="0.75" customHeight="1" hidden="1">
      <c r="A177" s="1783"/>
      <c s="1783"/>
      <c s="372" t="s">
        <v>1154</v>
      </c>
      <c s="2465"/>
      <c s="2207"/>
      <c s="2386"/>
      <c s="403"/>
      <c s="1503"/>
      <c s="654"/>
      <c s="574"/>
      <c s="1503"/>
      <c s="217"/>
      <c s="344"/>
      <c s="337"/>
      <c s="1627"/>
      <c s="1627"/>
      <c r="AH177" s="1634">
        <v>0</v>
      </c>
    </row>
    <row r="178" spans="1:34" s="1638" customFormat="1" ht="18.75" customHeight="1" hidden="1">
      <c r="A178" s="1783" t="s">
        <v>230</v>
      </c>
      <c s="1783" t="s">
        <v>231</v>
      </c>
      <c s="372"/>
      <c s="2465"/>
      <c s="2207"/>
      <c s="2386" t="str">
        <f>INDEX(PT_DIFFERENTIATION_VTAR,MATCH(A178,PT_DIFFERENTIATION_VTAR_ID,0))</f>
        <v>Тариф на техническую воду</v>
      </c>
      <c s="2430" t="str">
        <f>INDEX(PT_DIFFERENTIATION_NTAR,MATCH(B178,PT_DIFFERENTIATION_NTAR_ID,0))</f>
        <v/>
      </c>
      <c s="1865"/>
      <c s="1742"/>
      <c s="1776"/>
      <c s="1781"/>
      <c s="1865" t="s">
        <v>306</v>
      </c>
      <c s="344"/>
      <c s="337"/>
      <c s="1627"/>
      <c s="1627"/>
      <c r="AH178" s="1634">
        <v>0</v>
      </c>
    </row>
    <row r="179" spans="1:34" s="1638" customFormat="1" ht="18.75" customHeight="1" hidden="1">
      <c r="A179" s="1783"/>
      <c s="1783"/>
      <c s="372" t="s">
        <v>1147</v>
      </c>
      <c s="2465"/>
      <c s="2207"/>
      <c s="2386"/>
      <c s="2430"/>
      <c s="1503"/>
      <c s="654" t="s">
        <v>1146</v>
      </c>
      <c s="574"/>
      <c s="1503"/>
      <c s="217"/>
      <c s="344"/>
      <c s="337"/>
      <c s="1627"/>
      <c s="1627"/>
      <c r="AH179" s="1634">
        <v>0</v>
      </c>
    </row>
    <row r="180" spans="1:34" s="1638" customFormat="1" ht="0.75" customHeight="1" hidden="1">
      <c r="A180" s="1783"/>
      <c s="1783"/>
      <c s="372" t="s">
        <v>1154</v>
      </c>
      <c s="2465"/>
      <c s="2207"/>
      <c s="2386"/>
      <c s="403"/>
      <c s="1503"/>
      <c s="654"/>
      <c s="574"/>
      <c s="1503"/>
      <c s="217"/>
      <c s="344"/>
      <c s="337"/>
      <c s="1627"/>
      <c s="1627"/>
      <c r="AH180" s="1634">
        <v>0</v>
      </c>
    </row>
    <row r="181" spans="1:34" s="1638" customFormat="1" ht="18.75" customHeight="1" hidden="1">
      <c r="A181" s="1783" t="s">
        <v>235</v>
      </c>
      <c s="1783" t="s">
        <v>236</v>
      </c>
      <c s="372"/>
      <c s="2465"/>
      <c s="2207"/>
      <c s="2386" t="str">
        <f>INDEX(PT_DIFFERENTIATION_VTAR,MATCH(A181,PT_DIFFERENTIATION_VTAR_ID,0))</f>
        <v>Тариф на транспортировку воды</v>
      </c>
      <c s="2430" t="str">
        <f>INDEX(PT_DIFFERENTIATION_NTAR,MATCH(B181,PT_DIFFERENTIATION_NTAR_ID,0))</f>
        <v/>
      </c>
      <c s="1865"/>
      <c s="1742"/>
      <c s="1776"/>
      <c s="1781"/>
      <c s="1865" t="s">
        <v>306</v>
      </c>
      <c s="344"/>
      <c s="337"/>
      <c s="1627"/>
      <c s="1627"/>
      <c r="AH181" s="1634">
        <v>0</v>
      </c>
    </row>
    <row r="182" spans="1:34" s="1638" customFormat="1" ht="18.75" customHeight="1" hidden="1">
      <c r="A182" s="1783"/>
      <c s="1783"/>
      <c s="372" t="s">
        <v>1147</v>
      </c>
      <c s="2465"/>
      <c s="2207"/>
      <c s="2386"/>
      <c s="2430"/>
      <c s="1503"/>
      <c s="654" t="s">
        <v>1146</v>
      </c>
      <c s="574"/>
      <c s="1503"/>
      <c s="217"/>
      <c s="344"/>
      <c s="337"/>
      <c s="1627"/>
      <c s="1627"/>
      <c r="AH182" s="1634">
        <v>0</v>
      </c>
    </row>
    <row r="183" spans="1:34" s="1638" customFormat="1" ht="0.75" customHeight="1" hidden="1">
      <c r="A183" s="1783"/>
      <c s="1783"/>
      <c s="372" t="s">
        <v>1154</v>
      </c>
      <c s="2465"/>
      <c s="2207"/>
      <c s="2386"/>
      <c s="403"/>
      <c s="1503"/>
      <c s="654"/>
      <c s="574"/>
      <c s="1503"/>
      <c s="217"/>
      <c s="344"/>
      <c s="337"/>
      <c s="1627"/>
      <c s="1627"/>
      <c r="AH183" s="1634">
        <v>0</v>
      </c>
    </row>
    <row r="184" spans="1:34" s="1638" customFormat="1" ht="18.75" customHeight="1" hidden="1">
      <c r="A184" s="1783" t="s">
        <v>240</v>
      </c>
      <c s="1783" t="s">
        <v>241</v>
      </c>
      <c s="372"/>
      <c s="2465"/>
      <c s="2207"/>
      <c s="2386" t="str">
        <f>INDEX(PT_DIFFERENTIATION_VTAR,MATCH(A184,PT_DIFFERENTIATION_VTAR_ID,0))</f>
        <v>Тариф на подвоз воды</v>
      </c>
      <c s="2430" t="str">
        <f>INDEX(PT_DIFFERENTIATION_NTAR,MATCH(B184,PT_DIFFERENTIATION_NTAR_ID,0))</f>
        <v/>
      </c>
      <c s="1865"/>
      <c s="1742"/>
      <c s="1776"/>
      <c s="1781"/>
      <c s="1865" t="s">
        <v>306</v>
      </c>
      <c s="344"/>
      <c s="337"/>
      <c s="1627"/>
      <c s="1627"/>
      <c r="AH184" s="1634">
        <v>0</v>
      </c>
    </row>
    <row r="185" spans="1:34" s="1638" customFormat="1" ht="18.75" customHeight="1" hidden="1">
      <c r="A185" s="1783"/>
      <c s="1783"/>
      <c s="372" t="s">
        <v>1147</v>
      </c>
      <c s="2465"/>
      <c s="2207"/>
      <c s="2386"/>
      <c s="2430"/>
      <c s="1503"/>
      <c s="654" t="s">
        <v>1146</v>
      </c>
      <c s="574"/>
      <c s="1503"/>
      <c s="217"/>
      <c s="344"/>
      <c s="337"/>
      <c s="1627"/>
      <c s="1627"/>
      <c r="AH185" s="1634">
        <v>0</v>
      </c>
    </row>
    <row r="186" spans="1:34" s="1638" customFormat="1" ht="0.75" customHeight="1" hidden="1">
      <c r="A186" s="1783"/>
      <c s="1783"/>
      <c s="372" t="s">
        <v>1154</v>
      </c>
      <c s="2465"/>
      <c s="2207"/>
      <c s="2386"/>
      <c s="403"/>
      <c s="1503"/>
      <c s="654"/>
      <c s="574"/>
      <c s="1503"/>
      <c s="217"/>
      <c s="344"/>
      <c s="337"/>
      <c s="1627"/>
      <c s="1627"/>
      <c r="AH186" s="1634">
        <v>0</v>
      </c>
    </row>
    <row r="187" spans="1:34" s="1638" customFormat="1" ht="18.75" customHeight="1" hidden="1">
      <c r="A187" s="1783" t="s">
        <v>245</v>
      </c>
      <c s="1783" t="s">
        <v>246</v>
      </c>
      <c s="372"/>
      <c s="2465"/>
      <c s="2207"/>
      <c s="2386" t="str">
        <f>INDEX(PT_DIFFERENTIATION_VTAR,MATCH(A187,PT_DIFFERENTIATION_VTAR_ID,0))</f>
        <v>Тариф на подключение (технологическое присоединение) к централизованной системе холодного водоснабжения</v>
      </c>
      <c s="2430" t="str">
        <f>INDEX(PT_DIFFERENTIATION_NTAR,MATCH(B187,PT_DIFFERENTIATION_NTAR_ID,0))</f>
        <v/>
      </c>
      <c s="1865"/>
      <c s="1742"/>
      <c s="1776"/>
      <c s="1781"/>
      <c s="1865" t="s">
        <v>306</v>
      </c>
      <c s="344"/>
      <c s="337"/>
      <c s="1627"/>
      <c s="1627"/>
      <c r="AH187" s="1634">
        <v>0</v>
      </c>
    </row>
    <row r="188" spans="1:34" s="1638" customFormat="1" ht="18.75" customHeight="1" hidden="1">
      <c r="A188" s="1783"/>
      <c s="1783"/>
      <c s="372" t="s">
        <v>1147</v>
      </c>
      <c s="2465"/>
      <c s="2207"/>
      <c s="2386"/>
      <c s="2430"/>
      <c s="1503"/>
      <c s="654" t="s">
        <v>1146</v>
      </c>
      <c s="574"/>
      <c s="1503"/>
      <c s="217"/>
      <c s="344"/>
      <c s="337"/>
      <c s="1627"/>
      <c s="1627"/>
      <c r="AH188" s="1634">
        <v>0</v>
      </c>
    </row>
    <row r="189" spans="1:34" s="1638" customFormat="1" ht="0.75" customHeight="1" hidden="1">
      <c r="A189" s="1783"/>
      <c s="1783"/>
      <c s="372" t="s">
        <v>1154</v>
      </c>
      <c s="2465"/>
      <c s="2207"/>
      <c s="2386"/>
      <c s="403"/>
      <c s="1503"/>
      <c s="654"/>
      <c s="574"/>
      <c s="1503"/>
      <c s="217"/>
      <c s="344"/>
      <c s="337"/>
      <c s="1627"/>
      <c s="1627"/>
      <c r="AH189" s="1634">
        <v>0</v>
      </c>
    </row>
    <row r="190" spans="1:34" s="1638" customFormat="1" ht="18.75" customHeight="1" hidden="1">
      <c r="A190" s="1783" t="s">
        <v>250</v>
      </c>
      <c s="1783" t="s">
        <v>251</v>
      </c>
      <c s="372"/>
      <c s="2465"/>
      <c s="2207"/>
      <c s="2386" t="str">
        <f>INDEX(PT_DIFFERENTIATION_VTAR,MATCH(A190,PT_DIFFERENTIATION_VTAR_ID,0))</f>
        <v>Тариф на горячую воду (горячее водоснабжение)</v>
      </c>
      <c s="2430" t="str">
        <f>INDEX(PT_DIFFERENTIATION_NTAR,MATCH(B190,PT_DIFFERENTIATION_NTAR_ID,0))</f>
        <v/>
      </c>
      <c s="1865"/>
      <c s="1742"/>
      <c s="1776"/>
      <c s="1781"/>
      <c s="1865" t="s">
        <v>306</v>
      </c>
      <c s="344"/>
      <c s="337"/>
      <c s="1627"/>
      <c s="1627"/>
      <c r="AH190" s="1634">
        <v>0</v>
      </c>
    </row>
    <row r="191" spans="1:34" s="1638" customFormat="1" ht="18.75" customHeight="1" hidden="1">
      <c r="A191" s="1783"/>
      <c s="1783"/>
      <c s="372" t="s">
        <v>1147</v>
      </c>
      <c s="2465"/>
      <c s="2207"/>
      <c s="2386"/>
      <c s="2430"/>
      <c s="1503"/>
      <c s="654" t="s">
        <v>1146</v>
      </c>
      <c s="574"/>
      <c s="1503"/>
      <c s="217"/>
      <c s="344"/>
      <c s="337"/>
      <c s="1627"/>
      <c s="1627"/>
      <c r="AH191" s="1634">
        <v>0</v>
      </c>
    </row>
    <row r="192" spans="1:34" s="1638" customFormat="1" ht="0.75" customHeight="1" hidden="1">
      <c r="A192" s="1783"/>
      <c s="1783"/>
      <c s="372" t="s">
        <v>1154</v>
      </c>
      <c s="2465"/>
      <c s="2207"/>
      <c s="2386"/>
      <c s="403"/>
      <c s="1503"/>
      <c s="654"/>
      <c s="574"/>
      <c s="1503"/>
      <c s="217"/>
      <c s="344"/>
      <c s="337"/>
      <c s="1627"/>
      <c s="1627"/>
      <c r="AH192" s="1634">
        <v>0</v>
      </c>
    </row>
    <row r="193" spans="1:34" s="1638" customFormat="1" ht="18.75" customHeight="1" hidden="1">
      <c r="A193" s="1783" t="s">
        <v>255</v>
      </c>
      <c s="1783" t="s">
        <v>256</v>
      </c>
      <c s="372"/>
      <c s="2465"/>
      <c s="2207"/>
      <c s="2386" t="str">
        <f>INDEX(PT_DIFFERENTIATION_VTAR,MATCH(A193,PT_DIFFERENTIATION_VTAR_ID,0))</f>
        <v>Тариф на транспортировку горячей воды</v>
      </c>
      <c s="2430" t="str">
        <f>INDEX(PT_DIFFERENTIATION_NTAR,MATCH(B193,PT_DIFFERENTIATION_NTAR_ID,0))</f>
        <v/>
      </c>
      <c s="1865"/>
      <c s="1742"/>
      <c s="1776"/>
      <c s="1781"/>
      <c s="1865" t="s">
        <v>306</v>
      </c>
      <c s="344"/>
      <c s="337"/>
      <c s="1627"/>
      <c s="1627"/>
      <c r="AH193" s="1634">
        <v>0</v>
      </c>
    </row>
    <row r="194" spans="1:34" s="1638" customFormat="1" ht="18.75" customHeight="1" hidden="1">
      <c r="A194" s="1783"/>
      <c s="1783"/>
      <c s="372" t="s">
        <v>1147</v>
      </c>
      <c s="2465"/>
      <c s="2207"/>
      <c s="2386"/>
      <c s="2430"/>
      <c s="1503"/>
      <c s="654" t="s">
        <v>1146</v>
      </c>
      <c s="574"/>
      <c s="1503"/>
      <c s="217"/>
      <c s="344"/>
      <c s="337"/>
      <c s="1627"/>
      <c s="1627"/>
      <c r="AH194" s="1634">
        <v>0</v>
      </c>
    </row>
    <row r="195" spans="1:34" s="1638" customFormat="1" ht="0.75" customHeight="1" hidden="1">
      <c r="A195" s="1783"/>
      <c s="1783"/>
      <c s="372" t="s">
        <v>1154</v>
      </c>
      <c s="2465"/>
      <c s="2207"/>
      <c s="2386"/>
      <c s="403"/>
      <c s="1503"/>
      <c s="654"/>
      <c s="574"/>
      <c s="1503"/>
      <c s="217"/>
      <c s="344"/>
      <c s="337"/>
      <c s="1627"/>
      <c s="1627"/>
      <c r="AH195" s="1634">
        <v>0</v>
      </c>
    </row>
    <row r="196" spans="1:34" s="1638" customFormat="1" ht="18.75" customHeight="1" hidden="1">
      <c r="A196" s="1783" t="s">
        <v>260</v>
      </c>
      <c s="1783" t="s">
        <v>261</v>
      </c>
      <c s="372"/>
      <c s="2465"/>
      <c s="2207"/>
      <c s="2386" t="str">
        <f>INDEX(PT_DIFFERENTIATION_VTAR,MATCH(A196,PT_DIFFERENTIATION_VTAR_ID,0))</f>
        <v>Тариф на подключение (технологическое присоединение) к централизованной системе горячего водоснабжения</v>
      </c>
      <c s="2430" t="str">
        <f>INDEX(PT_DIFFERENTIATION_NTAR,MATCH(B196,PT_DIFFERENTIATION_NTAR_ID,0))</f>
        <v/>
      </c>
      <c s="1865"/>
      <c s="1742"/>
      <c s="1776"/>
      <c s="1781"/>
      <c s="1865" t="s">
        <v>306</v>
      </c>
      <c s="344"/>
      <c s="337"/>
      <c s="1627"/>
      <c s="1627"/>
      <c r="AH196" s="1634">
        <v>0</v>
      </c>
    </row>
    <row r="197" spans="1:34" s="1638" customFormat="1" ht="18.75" customHeight="1" hidden="1">
      <c r="A197" s="1783"/>
      <c s="1783"/>
      <c s="372" t="s">
        <v>1147</v>
      </c>
      <c s="2465"/>
      <c s="2207"/>
      <c s="2386"/>
      <c s="2430"/>
      <c s="1503"/>
      <c s="654" t="s">
        <v>1146</v>
      </c>
      <c s="574"/>
      <c s="1503"/>
      <c s="217"/>
      <c s="344"/>
      <c s="337"/>
      <c s="1627"/>
      <c s="1627"/>
      <c r="AH197" s="1634">
        <v>0</v>
      </c>
    </row>
    <row r="198" spans="1:34" s="1638" customFormat="1" ht="0.75" customHeight="1" hidden="1">
      <c r="A198" s="1783"/>
      <c s="1783"/>
      <c s="372" t="s">
        <v>1154</v>
      </c>
      <c s="2465"/>
      <c s="2207"/>
      <c s="2386"/>
      <c s="403"/>
      <c s="1503"/>
      <c s="654"/>
      <c s="574"/>
      <c s="1503"/>
      <c s="217"/>
      <c s="344"/>
      <c s="337"/>
      <c s="1627"/>
      <c s="1627"/>
      <c r="AH198" s="1634">
        <v>0</v>
      </c>
    </row>
    <row r="199" spans="1:34" s="1638" customFormat="1" ht="18.75" customHeight="1" hidden="1">
      <c r="A199" s="1783" t="s">
        <v>265</v>
      </c>
      <c s="1783" t="s">
        <v>266</v>
      </c>
      <c s="372"/>
      <c s="2465"/>
      <c s="2207"/>
      <c s="2386" t="str">
        <f>INDEX(PT_DIFFERENTIATION_VTAR,MATCH(A199,PT_DIFFERENTIATION_VTAR_ID,0))</f>
        <v>Тариф на водоотведение</v>
      </c>
      <c s="2430" t="str">
        <f>INDEX(PT_DIFFERENTIATION_NTAR,MATCH(B199,PT_DIFFERENTIATION_NTAR_ID,0))</f>
        <v/>
      </c>
      <c s="1865"/>
      <c s="1742"/>
      <c s="1776"/>
      <c s="1781"/>
      <c s="1865" t="s">
        <v>306</v>
      </c>
      <c s="344"/>
      <c s="337"/>
      <c s="1627"/>
      <c s="1627"/>
      <c r="AH199" s="1634">
        <v>0</v>
      </c>
    </row>
    <row r="200" spans="1:34" s="1638" customFormat="1" ht="18.75" customHeight="1" hidden="1">
      <c r="A200" s="1783"/>
      <c s="1783"/>
      <c s="372" t="s">
        <v>1147</v>
      </c>
      <c s="2465"/>
      <c s="2207"/>
      <c s="2386"/>
      <c s="2430"/>
      <c s="1503"/>
      <c s="654" t="s">
        <v>1146</v>
      </c>
      <c s="574"/>
      <c s="1503"/>
      <c s="217"/>
      <c s="344"/>
      <c s="337"/>
      <c s="1627"/>
      <c s="1627"/>
      <c r="AH200" s="1634">
        <v>0</v>
      </c>
    </row>
    <row r="201" spans="1:34" s="1638" customFormat="1" ht="0.75" customHeight="1" hidden="1">
      <c r="A201" s="1783"/>
      <c s="1783"/>
      <c s="372" t="s">
        <v>1154</v>
      </c>
      <c s="2465"/>
      <c s="2207"/>
      <c s="2386"/>
      <c s="403"/>
      <c s="1503"/>
      <c s="654"/>
      <c s="574"/>
      <c s="1503"/>
      <c s="217"/>
      <c s="344"/>
      <c s="337"/>
      <c s="1627"/>
      <c s="1627"/>
      <c r="AH201" s="1634">
        <v>0</v>
      </c>
    </row>
    <row r="202" spans="1:34" s="1638" customFormat="1" ht="18.75" customHeight="1" hidden="1">
      <c r="A202" s="1783" t="s">
        <v>270</v>
      </c>
      <c s="1783" t="s">
        <v>271</v>
      </c>
      <c s="372"/>
      <c s="2465"/>
      <c s="2207"/>
      <c s="2386" t="str">
        <f>INDEX(PT_DIFFERENTIATION_VTAR,MATCH(A202,PT_DIFFERENTIATION_VTAR_ID,0))</f>
        <v>Тариф на транспортировку сточных вод</v>
      </c>
      <c s="2430" t="str">
        <f>INDEX(PT_DIFFERENTIATION_NTAR,MATCH(B202,PT_DIFFERENTIATION_NTAR_ID,0))</f>
        <v/>
      </c>
      <c s="1865"/>
      <c s="1742"/>
      <c s="1776"/>
      <c s="1781"/>
      <c s="1865" t="s">
        <v>306</v>
      </c>
      <c s="344"/>
      <c s="337"/>
      <c s="1627"/>
      <c s="1627"/>
      <c r="AH202" s="1634">
        <v>0</v>
      </c>
    </row>
    <row r="203" spans="1:34" s="1638" customFormat="1" ht="18.75" customHeight="1" hidden="1">
      <c r="A203" s="1783"/>
      <c s="1783"/>
      <c s="372" t="s">
        <v>1147</v>
      </c>
      <c s="2465"/>
      <c s="2207"/>
      <c s="2386"/>
      <c s="2430"/>
      <c s="1503"/>
      <c s="654" t="s">
        <v>1146</v>
      </c>
      <c s="574"/>
      <c s="1503"/>
      <c s="217"/>
      <c s="344"/>
      <c s="337"/>
      <c s="1627"/>
      <c s="1627"/>
      <c r="AH203" s="1634">
        <v>0</v>
      </c>
    </row>
    <row r="204" spans="1:34" s="1638" customFormat="1" ht="0.75" customHeight="1" hidden="1">
      <c r="A204" s="1783"/>
      <c s="1783"/>
      <c s="372" t="s">
        <v>1154</v>
      </c>
      <c s="2465"/>
      <c s="2207"/>
      <c s="2386"/>
      <c s="403"/>
      <c s="1503"/>
      <c s="654"/>
      <c s="574"/>
      <c s="1503"/>
      <c s="217"/>
      <c s="344"/>
      <c s="337"/>
      <c s="1627"/>
      <c s="1627"/>
      <c r="AH204" s="1634">
        <v>0</v>
      </c>
    </row>
    <row r="205" spans="1:34" s="1638" customFormat="1" ht="18.75" customHeight="1" hidden="1">
      <c r="A205" s="1783" t="s">
        <v>275</v>
      </c>
      <c s="1783" t="s">
        <v>276</v>
      </c>
      <c s="372"/>
      <c s="2465"/>
      <c s="2207"/>
      <c s="2386" t="str">
        <f>INDEX(PT_DIFFERENTIATION_VTAR,MATCH(A205,PT_DIFFERENTIATION_VTAR_ID,0))</f>
        <v>Тариф на подключение (технологическое присоединение) к централизованной системе водоотведения</v>
      </c>
      <c s="2430" t="str">
        <f>INDEX(PT_DIFFERENTIATION_NTAR,MATCH(B205,PT_DIFFERENTIATION_NTAR_ID,0))</f>
        <v/>
      </c>
      <c s="1865"/>
      <c s="1742"/>
      <c s="1776"/>
      <c s="1781"/>
      <c s="1865" t="s">
        <v>306</v>
      </c>
      <c s="344"/>
      <c s="337"/>
      <c s="1627"/>
      <c s="1627"/>
      <c r="AH205" s="1634">
        <v>0</v>
      </c>
    </row>
    <row r="206" spans="1:34" s="1638" customFormat="1" ht="18.75" customHeight="1" hidden="1">
      <c r="A206" s="1783"/>
      <c s="1783"/>
      <c s="372" t="s">
        <v>1147</v>
      </c>
      <c s="2465"/>
      <c s="2207"/>
      <c s="2386"/>
      <c s="2430"/>
      <c s="1503"/>
      <c s="654" t="s">
        <v>1146</v>
      </c>
      <c s="574"/>
      <c s="1503"/>
      <c s="217"/>
      <c s="344"/>
      <c s="337"/>
      <c s="1627"/>
      <c s="1627"/>
      <c r="AH206" s="1634">
        <v>0</v>
      </c>
    </row>
    <row r="207" spans="1:34" s="1638" customFormat="1" ht="1.05" customHeight="1">
      <c r="A207" s="1783"/>
      <c s="1783"/>
      <c s="372" t="s">
        <v>1154</v>
      </c>
      <c s="2465"/>
      <c s="2207"/>
      <c s="2386"/>
      <c s="403"/>
      <c s="1503"/>
      <c s="654"/>
      <c s="574"/>
      <c s="1503"/>
      <c s="217"/>
      <c s="344"/>
      <c s="337"/>
      <c s="1627"/>
      <c s="1627"/>
      <c r="AH207" s="1634">
        <v>1</v>
      </c>
    </row>
    <row r="208" spans="1:34" ht="27.3" customHeight="1">
      <c r="A208" s="1783"/>
      <c s="1783"/>
      <c r="D208" s="379"/>
      <c s="150" t="s">
        <v>111</v>
      </c>
      <c s="2463" t="str">
        <f>IF(TEMPLATE_SPHERE="HEAT","Размер недополученных доходов регулируемой организацией (при их наличии), исчисленный в соответствии с Основами ценообразования в сфере теплоснабжения,"&amp;" утвержденными постановлением Правительства Российской Федерации от 22 октября 2012 г. N 1075 ""О ценообразовании в сфере теплоснабжения""","Размер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f>
        <v>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v>
      </c>
      <c s="2463"/>
      <c s="2463"/>
      <c s="2463"/>
      <c s="2463"/>
      <c s="2463"/>
      <c s="2463"/>
      <c s="300"/>
      <c s="337"/>
      <c r="AH208" s="377">
        <v>26</v>
      </c>
    </row>
    <row r="209" spans="1:34" s="1638" customFormat="1" ht="60.75" customHeight="1" hidden="1">
      <c r="A209" s="1783" t="s">
        <v>157</v>
      </c>
      <c s="1783" t="s">
        <v>158</v>
      </c>
      <c s="372"/>
      <c s="2465"/>
      <c s="2207"/>
      <c s="2386" t="str">
        <f>INDEX(PT_DIFFERENTIATION_VTAR,MATCH(A209,PT_DIFFERENTIATION_VTAR_ID,0))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s="2430" t="str">
        <f>INDEX(PT_DIFFERENTIATION_NTAR,MATCH(B209,PT_DIFFERENTIATION_NTAR_ID,0))</f>
        <v/>
      </c>
      <c s="1865"/>
      <c s="1742"/>
      <c s="1776"/>
      <c s="1781"/>
      <c s="1865" t="s">
        <v>306</v>
      </c>
      <c s="2172"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"&amp;IF(TEMPLATE_SPHERE="HEAT","регулируемой организацией",TEMPLATE_SPHERE_RUS)&amp;", исчисленных в соответствии с законодательством в сфере "&amp;IF(TEMPLATE_SPHERE="HEAT","теплоснабжения","водоснабжения и водоотведения")&amp;", указывается значение «0».
В случае дифференциации недополученных доходов организацией "&amp;TEMPLATE_SPHERE_RUS&amp;"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водоотведения,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водоотведения, исчисленных в соответствии с законодательством в сфере водоснабжения и водоотведения, указывается значение «0».
В случае дифференциации недополученных доходов организацией водоотведения по видам тарифов и/или по срокам действия тарифов информация указывается в отдельных строках.</v>
      </c>
      <c s="337"/>
      <c s="1627"/>
      <c s="1627"/>
      <c r="AH209" s="1634">
        <v>0</v>
      </c>
    </row>
    <row r="210" spans="1:34" s="1638" customFormat="1" ht="18.75" customHeight="1" hidden="1">
      <c r="A210" s="1783"/>
      <c s="1783"/>
      <c s="372" t="s">
        <v>1147</v>
      </c>
      <c s="2465"/>
      <c s="2207"/>
      <c s="2386"/>
      <c s="2430"/>
      <c s="1503"/>
      <c s="654" t="s">
        <v>1146</v>
      </c>
      <c s="574"/>
      <c s="1503"/>
      <c s="217"/>
      <c s="2173"/>
      <c s="337"/>
      <c s="1627"/>
      <c s="1627"/>
      <c r="AH210" s="1634">
        <v>0</v>
      </c>
    </row>
    <row r="211" spans="1:34" s="1638" customFormat="1" ht="0.75" customHeight="1" hidden="1">
      <c r="A211" s="1783"/>
      <c s="1783"/>
      <c s="372" t="s">
        <v>1154</v>
      </c>
      <c s="2465"/>
      <c s="2207"/>
      <c s="2386"/>
      <c s="403"/>
      <c s="1503"/>
      <c s="654"/>
      <c s="574"/>
      <c s="1503"/>
      <c s="217"/>
      <c s="2173"/>
      <c s="337"/>
      <c s="1627"/>
      <c s="1627"/>
      <c r="AH211" s="1634">
        <v>0</v>
      </c>
    </row>
    <row r="212" spans="1:34" s="1638" customFormat="1" ht="45" customHeight="1" hidden="1">
      <c r="A212" s="1783" t="s">
        <v>162</v>
      </c>
      <c s="1783" t="s">
        <v>163</v>
      </c>
      <c s="372"/>
      <c s="2465"/>
      <c s="2207"/>
      <c s="2386" t="str">
        <f>INDEX(PT_DIFFERENTIATION_VTAR,MATCH(A212,PT_DIFFERENTIATION_VTAR_ID,0))</f>
        <v/>
      </c>
      <c s="2430" t="str">
        <f>INDEX(PT_DIFFERENTIATION_NTAR,MATCH(B212,PT_DIFFERENTIATION_NTAR_ID,0))</f>
        <v/>
      </c>
      <c s="1865"/>
      <c s="1742"/>
      <c s="1776"/>
      <c s="1781"/>
      <c s="1865" t="s">
        <v>306</v>
      </c>
      <c s="2174"/>
      <c s="337"/>
      <c s="1627"/>
      <c s="1627"/>
      <c r="AH212" s="1634">
        <v>0</v>
      </c>
    </row>
    <row r="213" spans="1:34" s="1638" customFormat="1" ht="18.75" customHeight="1" hidden="1">
      <c r="A213" s="1783"/>
      <c s="1783"/>
      <c s="372" t="s">
        <v>1147</v>
      </c>
      <c s="2465"/>
      <c s="2207"/>
      <c s="2386"/>
      <c s="2430"/>
      <c s="1503"/>
      <c s="654" t="s">
        <v>1146</v>
      </c>
      <c s="574"/>
      <c s="1503"/>
      <c s="217"/>
      <c s="1864"/>
      <c s="337"/>
      <c s="1627"/>
      <c s="1627"/>
      <c r="AH213" s="1634">
        <v>0</v>
      </c>
    </row>
    <row r="214" spans="1:34" s="1638" customFormat="1" ht="0.75" customHeight="1" hidden="1">
      <c r="A214" s="1783"/>
      <c s="1783"/>
      <c s="372" t="s">
        <v>1154</v>
      </c>
      <c s="2465"/>
      <c s="2207"/>
      <c s="2386"/>
      <c s="403"/>
      <c s="1503"/>
      <c s="654"/>
      <c s="574"/>
      <c s="1503"/>
      <c s="217"/>
      <c s="344"/>
      <c s="337"/>
      <c s="1627"/>
      <c s="1627"/>
      <c r="AH214" s="1634">
        <v>0</v>
      </c>
    </row>
    <row r="215" spans="1:34" s="1638" customFormat="1" ht="45" customHeight="1" hidden="1">
      <c r="A215" s="1783" t="s">
        <v>169</v>
      </c>
      <c s="1783" t="s">
        <v>170</v>
      </c>
      <c s="372"/>
      <c s="2465"/>
      <c s="2207"/>
      <c s="2386" t="str">
        <f>INDEX(PT_DIFFERENTIATION_VTAR,MATCH(A215,PT_DIFFERENTIATION_VTAR_ID,0))</f>
        <v>Тарифы на теплоноситель, поставляемый теплоснабжающими организациями потребителям, другим теплоснабжающим организациям</v>
      </c>
      <c s="2430" t="str">
        <f>INDEX(PT_DIFFERENTIATION_NTAR,MATCH(B215,PT_DIFFERENTIATION_NTAR_ID,0))</f>
        <v/>
      </c>
      <c s="1865"/>
      <c s="1742"/>
      <c s="1776"/>
      <c s="1781"/>
      <c s="1865" t="s">
        <v>306</v>
      </c>
      <c s="344"/>
      <c s="337"/>
      <c s="1627"/>
      <c s="1627"/>
      <c r="AH215" s="1634">
        <v>0</v>
      </c>
    </row>
    <row r="216" spans="1:34" s="1638" customFormat="1" ht="18.75" customHeight="1" hidden="1">
      <c r="A216" s="1783"/>
      <c s="1783"/>
      <c s="372" t="s">
        <v>1147</v>
      </c>
      <c s="2465"/>
      <c s="2207"/>
      <c s="2386"/>
      <c s="2430"/>
      <c s="1503"/>
      <c s="654" t="s">
        <v>1146</v>
      </c>
      <c s="574"/>
      <c s="1503"/>
      <c s="217"/>
      <c s="344"/>
      <c s="337"/>
      <c s="1627"/>
      <c s="1627"/>
      <c r="AH216" s="1634">
        <v>0</v>
      </c>
    </row>
    <row r="217" spans="1:34" s="1638" customFormat="1" ht="0.75" customHeight="1" hidden="1">
      <c r="A217" s="1783"/>
      <c s="1783"/>
      <c s="372" t="s">
        <v>1154</v>
      </c>
      <c s="2465"/>
      <c s="2207"/>
      <c s="2386"/>
      <c s="403"/>
      <c s="1503"/>
      <c s="654"/>
      <c s="574"/>
      <c s="1503"/>
      <c s="217"/>
      <c s="344"/>
      <c s="337"/>
      <c s="1627"/>
      <c s="1627"/>
      <c r="AH217" s="1634">
        <v>0</v>
      </c>
    </row>
    <row r="218" spans="1:34" s="1638" customFormat="1" ht="45" customHeight="1" hidden="1">
      <c r="A218" s="1783" t="s">
        <v>175</v>
      </c>
      <c s="1783" t="s">
        <v>176</v>
      </c>
      <c s="372"/>
      <c s="2465"/>
      <c s="2207"/>
      <c s="2386" t="str">
        <f>INDEX(PT_DIFFERENTIATION_VTAR,MATCH(A218,PT_DIFFERENTIATION_VTAR_ID,0))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s="2430" t="str">
        <f>INDEX(PT_DIFFERENTIATION_NTAR,MATCH(B218,PT_DIFFERENTIATION_NTAR_ID,0))</f>
        <v/>
      </c>
      <c s="1865"/>
      <c s="1742"/>
      <c s="1776"/>
      <c s="1781"/>
      <c s="1865" t="s">
        <v>306</v>
      </c>
      <c s="344"/>
      <c s="337"/>
      <c s="1627"/>
      <c s="1627"/>
      <c r="AH218" s="1634">
        <v>0</v>
      </c>
    </row>
    <row r="219" spans="1:34" s="1638" customFormat="1" ht="18.75" customHeight="1" hidden="1">
      <c r="A219" s="1783"/>
      <c s="1783"/>
      <c s="372" t="s">
        <v>1147</v>
      </c>
      <c s="2465"/>
      <c s="2207"/>
      <c s="2386"/>
      <c s="2430"/>
      <c s="1503"/>
      <c s="654" t="s">
        <v>1146</v>
      </c>
      <c s="574"/>
      <c s="1503"/>
      <c s="217"/>
      <c s="344"/>
      <c s="337"/>
      <c s="1627"/>
      <c s="1627"/>
      <c r="AH219" s="1634">
        <v>0</v>
      </c>
    </row>
    <row r="220" spans="1:34" s="1638" customFormat="1" ht="0.75" customHeight="1" hidden="1">
      <c r="A220" s="1783"/>
      <c s="1783"/>
      <c s="372" t="s">
        <v>1154</v>
      </c>
      <c s="2465"/>
      <c s="2207"/>
      <c s="2386"/>
      <c s="403"/>
      <c s="1503"/>
      <c s="654"/>
      <c s="574"/>
      <c s="1503"/>
      <c s="217"/>
      <c s="344"/>
      <c s="337"/>
      <c s="1627"/>
      <c s="1627"/>
      <c r="AH220" s="1634">
        <v>0</v>
      </c>
    </row>
    <row r="221" spans="1:34" s="1638" customFormat="1" ht="18.75" customHeight="1" hidden="1">
      <c r="A221" s="1783" t="s">
        <v>181</v>
      </c>
      <c s="1783" t="s">
        <v>182</v>
      </c>
      <c s="372"/>
      <c s="2465"/>
      <c s="2207"/>
      <c s="2386" t="str">
        <f>INDEX(PT_DIFFERENTIATION_VTAR,MATCH(A221,PT_DIFFERENTIATION_VTAR_ID,0))</f>
        <v>Тарифы на услуги по передаче тепловой энергии</v>
      </c>
      <c s="2430" t="str">
        <f>INDEX(PT_DIFFERENTIATION_NTAR,MATCH(B221,PT_DIFFERENTIATION_NTAR_ID,0))</f>
        <v/>
      </c>
      <c s="1865"/>
      <c s="1742"/>
      <c s="1776"/>
      <c s="1781"/>
      <c s="1865" t="s">
        <v>306</v>
      </c>
      <c s="344"/>
      <c s="337"/>
      <c s="1627"/>
      <c s="1627"/>
      <c r="AH221" s="1634">
        <v>0</v>
      </c>
    </row>
    <row r="222" spans="1:34" s="1638" customFormat="1" ht="18.75" customHeight="1" hidden="1">
      <c r="A222" s="1783"/>
      <c s="1783"/>
      <c s="372" t="s">
        <v>1147</v>
      </c>
      <c s="2465"/>
      <c s="2207"/>
      <c s="2386"/>
      <c s="2430"/>
      <c s="1503"/>
      <c s="654" t="s">
        <v>1146</v>
      </c>
      <c s="574"/>
      <c s="1503"/>
      <c s="217"/>
      <c s="344"/>
      <c s="337"/>
      <c s="1627"/>
      <c s="1627"/>
      <c r="AH222" s="1634">
        <v>0</v>
      </c>
    </row>
    <row r="223" spans="1:34" s="1638" customFormat="1" ht="0.75" customHeight="1" hidden="1">
      <c r="A223" s="1783"/>
      <c s="1783"/>
      <c s="372" t="s">
        <v>1154</v>
      </c>
      <c s="2465"/>
      <c s="2207"/>
      <c s="2386"/>
      <c s="403"/>
      <c s="1503"/>
      <c s="654"/>
      <c s="574"/>
      <c s="1503"/>
      <c s="217"/>
      <c s="344"/>
      <c s="337"/>
      <c s="1627"/>
      <c s="1627"/>
      <c r="AH223" s="1634">
        <v>0</v>
      </c>
    </row>
    <row r="224" spans="1:34" s="1638" customFormat="1" ht="18.75" customHeight="1" hidden="1">
      <c r="A224" s="1783" t="s">
        <v>187</v>
      </c>
      <c s="1783" t="s">
        <v>188</v>
      </c>
      <c s="372"/>
      <c s="2465"/>
      <c s="2207"/>
      <c s="2386" t="str">
        <f>INDEX(PT_DIFFERENTIATION_VTAR,MATCH(A224,PT_DIFFERENTIATION_VTAR_ID,0))</f>
        <v>Тарифы на услуги по передаче теплоносителя</v>
      </c>
      <c s="2430" t="str">
        <f>INDEX(PT_DIFFERENTIATION_NTAR,MATCH(B224,PT_DIFFERENTIATION_NTAR_ID,0))</f>
        <v/>
      </c>
      <c s="1865"/>
      <c s="1742"/>
      <c s="1776"/>
      <c s="1781"/>
      <c s="1865" t="s">
        <v>306</v>
      </c>
      <c s="344"/>
      <c s="337"/>
      <c s="1627"/>
      <c s="1627"/>
      <c r="AH224" s="1634">
        <v>0</v>
      </c>
    </row>
    <row r="225" spans="1:34" s="1638" customFormat="1" ht="18.75" customHeight="1" hidden="1">
      <c r="A225" s="1783"/>
      <c s="1783"/>
      <c s="372" t="s">
        <v>1147</v>
      </c>
      <c s="2465"/>
      <c s="2207"/>
      <c s="2386"/>
      <c s="2430"/>
      <c s="1503"/>
      <c s="654" t="s">
        <v>1146</v>
      </c>
      <c s="574"/>
      <c s="1503"/>
      <c s="217"/>
      <c s="344"/>
      <c s="337"/>
      <c s="1627"/>
      <c s="1627"/>
      <c r="AH225" s="1634">
        <v>0</v>
      </c>
    </row>
    <row r="226" spans="1:34" s="1638" customFormat="1" ht="0.75" customHeight="1" hidden="1">
      <c r="A226" s="1783"/>
      <c s="1783"/>
      <c s="372" t="s">
        <v>1154</v>
      </c>
      <c s="2465"/>
      <c s="2207"/>
      <c s="2386"/>
      <c s="403"/>
      <c s="1503"/>
      <c s="654"/>
      <c s="574"/>
      <c s="1503"/>
      <c s="217"/>
      <c s="344"/>
      <c s="337"/>
      <c s="1627"/>
      <c s="1627"/>
      <c r="AH226" s="1634">
        <v>0</v>
      </c>
    </row>
    <row r="227" spans="1:34" s="1638" customFormat="1" ht="18.75" customHeight="1" hidden="1">
      <c r="A227" s="1783" t="s">
        <v>193</v>
      </c>
      <c s="1783" t="s">
        <v>194</v>
      </c>
      <c s="372"/>
      <c s="2465"/>
      <c s="2207"/>
      <c s="2386" t="str">
        <f>INDEX(PT_DIFFERENTIATION_VTAR,MATCH(A227,PT_DIFFERENTIATION_VTAR_ID,0))</f>
        <v>Плата за услуги по поддержанию резервной тепловой мощности при отсутствии потребления тепловой энергии</v>
      </c>
      <c s="2430" t="str">
        <f>INDEX(PT_DIFFERENTIATION_NTAR,MATCH(B227,PT_DIFFERENTIATION_NTAR_ID,0))</f>
        <v/>
      </c>
      <c s="1865"/>
      <c s="1742"/>
      <c s="1776"/>
      <c s="1781"/>
      <c s="1865" t="s">
        <v>306</v>
      </c>
      <c s="344"/>
      <c s="337"/>
      <c s="1627"/>
      <c s="1627"/>
      <c r="AH227" s="1634">
        <v>0</v>
      </c>
    </row>
    <row r="228" spans="1:34" s="1638" customFormat="1" ht="18.75" customHeight="1" hidden="1">
      <c r="A228" s="1783"/>
      <c s="1783"/>
      <c s="372" t="s">
        <v>1147</v>
      </c>
      <c s="2465"/>
      <c s="2207"/>
      <c s="2386"/>
      <c s="2430"/>
      <c s="1503"/>
      <c s="654" t="s">
        <v>1146</v>
      </c>
      <c s="574"/>
      <c s="1503"/>
      <c s="217"/>
      <c s="344"/>
      <c s="337"/>
      <c s="1627"/>
      <c s="1627"/>
      <c r="AH228" s="1634">
        <v>0</v>
      </c>
    </row>
    <row r="229" spans="1:34" s="1638" customFormat="1" ht="0.75" customHeight="1" hidden="1">
      <c r="A229" s="1783"/>
      <c s="1783"/>
      <c s="372" t="s">
        <v>1154</v>
      </c>
      <c s="2465"/>
      <c s="2207"/>
      <c s="2386"/>
      <c s="403"/>
      <c s="1503"/>
      <c s="654"/>
      <c s="574"/>
      <c s="1503"/>
      <c s="217"/>
      <c s="344"/>
      <c s="337"/>
      <c s="1627"/>
      <c s="1627"/>
      <c r="AH229" s="1634">
        <v>0</v>
      </c>
    </row>
    <row r="230" spans="1:34" s="1638" customFormat="1" ht="18.75" customHeight="1" hidden="1">
      <c r="A230" s="1783" t="s">
        <v>199</v>
      </c>
      <c s="1783" t="s">
        <v>200</v>
      </c>
      <c s="372"/>
      <c s="2465"/>
      <c s="2207"/>
      <c s="2386" t="str">
        <f>INDEX(PT_DIFFERENTIATION_VTAR,MATCH(A230,PT_DIFFERENTIATION_VTAR_ID,0))</f>
        <v>Плата за подключение (технологическое присоединение) к системе теплоснабжения</v>
      </c>
      <c s="2430" t="str">
        <f>INDEX(PT_DIFFERENTIATION_NTAR,MATCH(B230,PT_DIFFERENTIATION_NTAR_ID,0))</f>
        <v/>
      </c>
      <c s="1865"/>
      <c s="1742"/>
      <c s="1776"/>
      <c s="1781"/>
      <c s="1865" t="s">
        <v>306</v>
      </c>
      <c s="344"/>
      <c s="337"/>
      <c s="1627"/>
      <c s="1627"/>
      <c r="AH230" s="1634">
        <v>0</v>
      </c>
    </row>
    <row r="231" spans="1:34" s="1638" customFormat="1" ht="18.75" customHeight="1" hidden="1">
      <c r="A231" s="1783"/>
      <c s="1783"/>
      <c s="372" t="s">
        <v>1147</v>
      </c>
      <c s="2465"/>
      <c s="2207"/>
      <c s="2386"/>
      <c s="2430"/>
      <c s="1503"/>
      <c s="654" t="s">
        <v>1146</v>
      </c>
      <c s="574"/>
      <c s="1503"/>
      <c s="217"/>
      <c s="344"/>
      <c s="337"/>
      <c s="1627"/>
      <c s="1627"/>
      <c r="AH231" s="1634">
        <v>0</v>
      </c>
    </row>
    <row r="232" spans="1:34" s="1638" customFormat="1" ht="0.75" customHeight="1" hidden="1">
      <c r="A232" s="1783"/>
      <c s="1783"/>
      <c s="372" t="s">
        <v>1154</v>
      </c>
      <c s="2465"/>
      <c s="2207"/>
      <c s="2386"/>
      <c s="403"/>
      <c s="1503"/>
      <c s="654"/>
      <c s="574"/>
      <c s="1503"/>
      <c s="217"/>
      <c s="344"/>
      <c s="337"/>
      <c s="1627"/>
      <c s="1627"/>
      <c r="AH232" s="1634">
        <v>0</v>
      </c>
    </row>
    <row r="233" spans="1:34" s="1638" customFormat="1" ht="18.75" customHeight="1" hidden="1">
      <c r="A233" s="1783" t="s">
        <v>205</v>
      </c>
      <c s="1783" t="s">
        <v>206</v>
      </c>
      <c s="372"/>
      <c s="2465"/>
      <c s="2207"/>
      <c s="2386" t="str">
        <f>INDEX(PT_DIFFERENTIATION_VTAR,MATCH(A233,PT_DIFFERENTIATION_VTAR_ID,0))</f>
        <v>Плата за подключение (технологическое присоединение) к системе теплоснабжения (индивидуальная)</v>
      </c>
      <c s="2430" t="str">
        <f>INDEX(PT_DIFFERENTIATION_NTAR,MATCH(B233,PT_DIFFERENTIATION_NTAR_ID,0))</f>
        <v/>
      </c>
      <c s="1992"/>
      <c s="1742"/>
      <c s="1776"/>
      <c s="1781"/>
      <c s="1992" t="s">
        <v>306</v>
      </c>
      <c s="344"/>
      <c s="337"/>
      <c s="1627"/>
      <c s="1627"/>
      <c r="AH233" s="1634">
        <v>0</v>
      </c>
    </row>
    <row r="234" spans="1:34" s="1638" customFormat="1" ht="18.75" customHeight="1" hidden="1">
      <c r="A234" s="1783"/>
      <c s="1783"/>
      <c s="372" t="s">
        <v>1147</v>
      </c>
      <c s="2465"/>
      <c s="2207"/>
      <c s="2386"/>
      <c s="2430"/>
      <c s="1503"/>
      <c s="654" t="s">
        <v>1146</v>
      </c>
      <c s="574"/>
      <c s="1503"/>
      <c s="217"/>
      <c s="344"/>
      <c s="337"/>
      <c s="1627"/>
      <c s="1627"/>
      <c r="AH234" s="1634">
        <v>0</v>
      </c>
    </row>
    <row r="235" spans="1:34" s="1638" customFormat="1" ht="0.75" customHeight="1" hidden="1">
      <c r="A235" s="1783"/>
      <c s="1783"/>
      <c s="372" t="s">
        <v>1154</v>
      </c>
      <c s="2465"/>
      <c s="2207"/>
      <c s="2386"/>
      <c s="403"/>
      <c s="1503"/>
      <c s="654"/>
      <c s="574"/>
      <c s="1503"/>
      <c s="217"/>
      <c s="344"/>
      <c s="337"/>
      <c s="1627"/>
      <c s="1627"/>
      <c r="AH235" s="1634">
        <v>0</v>
      </c>
    </row>
    <row r="236" spans="1:34" s="1638" customFormat="1" ht="18.75" customHeight="1" hidden="1">
      <c r="A236" s="1783" t="s">
        <v>225</v>
      </c>
      <c s="1783" t="s">
        <v>226</v>
      </c>
      <c s="372"/>
      <c s="2465"/>
      <c s="2207"/>
      <c s="2386" t="str">
        <f>INDEX(PT_DIFFERENTIATION_VTAR,MATCH(A236,PT_DIFFERENTIATION_VTAR_ID,0))</f>
        <v>Тариф на питьевую воду (питьевое водоснабжение)</v>
      </c>
      <c s="2430" t="str">
        <f>INDEX(PT_DIFFERENTIATION_NTAR,MATCH(B236,PT_DIFFERENTIATION_NTAR_ID,0))</f>
        <v/>
      </c>
      <c s="1865"/>
      <c s="1742"/>
      <c s="1776"/>
      <c s="1781"/>
      <c s="1865" t="s">
        <v>306</v>
      </c>
      <c s="344"/>
      <c s="337"/>
      <c s="1627"/>
      <c s="1627"/>
      <c r="AH236" s="1634">
        <v>0</v>
      </c>
    </row>
    <row r="237" spans="1:34" s="1638" customFormat="1" ht="18.75" customHeight="1" hidden="1">
      <c r="A237" s="1783"/>
      <c s="1783"/>
      <c s="372" t="s">
        <v>1147</v>
      </c>
      <c s="2465"/>
      <c s="2207"/>
      <c s="2386"/>
      <c s="2430"/>
      <c s="1503"/>
      <c s="654" t="s">
        <v>1146</v>
      </c>
      <c s="574"/>
      <c s="1503"/>
      <c s="217"/>
      <c s="344"/>
      <c s="337"/>
      <c s="1627"/>
      <c s="1627"/>
      <c r="AH237" s="1634">
        <v>0</v>
      </c>
    </row>
    <row r="238" spans="1:34" s="1638" customFormat="1" ht="0.75" customHeight="1" hidden="1">
      <c r="A238" s="1783"/>
      <c s="1783"/>
      <c s="372" t="s">
        <v>1154</v>
      </c>
      <c s="2465"/>
      <c s="2207"/>
      <c s="2386"/>
      <c s="403"/>
      <c s="1503"/>
      <c s="654"/>
      <c s="574"/>
      <c s="1503"/>
      <c s="217"/>
      <c s="344"/>
      <c s="337"/>
      <c s="1627"/>
      <c s="1627"/>
      <c r="AH238" s="1634">
        <v>0</v>
      </c>
    </row>
    <row r="239" spans="1:34" s="1638" customFormat="1" ht="18.75" customHeight="1" hidden="1">
      <c r="A239" s="1783" t="s">
        <v>230</v>
      </c>
      <c s="1783" t="s">
        <v>231</v>
      </c>
      <c s="372"/>
      <c s="2465"/>
      <c s="2207"/>
      <c s="2386" t="str">
        <f>INDEX(PT_DIFFERENTIATION_VTAR,MATCH(A239,PT_DIFFERENTIATION_VTAR_ID,0))</f>
        <v>Тариф на техническую воду</v>
      </c>
      <c s="2430" t="str">
        <f>INDEX(PT_DIFFERENTIATION_NTAR,MATCH(B239,PT_DIFFERENTIATION_NTAR_ID,0))</f>
        <v/>
      </c>
      <c s="1865"/>
      <c s="1742"/>
      <c s="1776"/>
      <c s="1781"/>
      <c s="1865" t="s">
        <v>306</v>
      </c>
      <c s="344"/>
      <c s="337"/>
      <c s="1627"/>
      <c s="1627"/>
      <c r="AH239" s="1634">
        <v>0</v>
      </c>
    </row>
    <row r="240" spans="1:34" s="1638" customFormat="1" ht="18.75" customHeight="1" hidden="1">
      <c r="A240" s="1783"/>
      <c s="1783"/>
      <c s="372" t="s">
        <v>1147</v>
      </c>
      <c s="2465"/>
      <c s="2207"/>
      <c s="2386"/>
      <c s="2430"/>
      <c s="1503"/>
      <c s="654" t="s">
        <v>1146</v>
      </c>
      <c s="574"/>
      <c s="1503"/>
      <c s="217"/>
      <c s="344"/>
      <c s="337"/>
      <c s="1627"/>
      <c s="1627"/>
      <c r="AH240" s="1634">
        <v>0</v>
      </c>
    </row>
    <row r="241" spans="1:34" s="1638" customFormat="1" ht="0.75" customHeight="1" hidden="1">
      <c r="A241" s="1783"/>
      <c s="1783"/>
      <c s="372" t="s">
        <v>1154</v>
      </c>
      <c s="2465"/>
      <c s="2207"/>
      <c s="2386"/>
      <c s="403"/>
      <c s="1503"/>
      <c s="654"/>
      <c s="574"/>
      <c s="1503"/>
      <c s="217"/>
      <c s="344"/>
      <c s="337"/>
      <c s="1627"/>
      <c s="1627"/>
      <c r="AH241" s="1634">
        <v>0</v>
      </c>
    </row>
    <row r="242" spans="1:34" s="1638" customFormat="1" ht="18.75" customHeight="1" hidden="1">
      <c r="A242" s="1783" t="s">
        <v>235</v>
      </c>
      <c s="1783" t="s">
        <v>236</v>
      </c>
      <c s="372"/>
      <c s="2465"/>
      <c s="2207"/>
      <c s="2386" t="str">
        <f>INDEX(PT_DIFFERENTIATION_VTAR,MATCH(A242,PT_DIFFERENTIATION_VTAR_ID,0))</f>
        <v>Тариф на транспортировку воды</v>
      </c>
      <c s="2430" t="str">
        <f>INDEX(PT_DIFFERENTIATION_NTAR,MATCH(B242,PT_DIFFERENTIATION_NTAR_ID,0))</f>
        <v/>
      </c>
      <c s="1865"/>
      <c s="1742"/>
      <c s="1776"/>
      <c s="1781"/>
      <c s="1865" t="s">
        <v>306</v>
      </c>
      <c s="344"/>
      <c s="337"/>
      <c s="1627"/>
      <c s="1627"/>
      <c r="AH242" s="1634">
        <v>0</v>
      </c>
    </row>
    <row r="243" spans="1:34" s="1638" customFormat="1" ht="18.75" customHeight="1" hidden="1">
      <c r="A243" s="1783"/>
      <c s="1783"/>
      <c s="372" t="s">
        <v>1147</v>
      </c>
      <c s="2465"/>
      <c s="2207"/>
      <c s="2386"/>
      <c s="2430"/>
      <c s="1503"/>
      <c s="654" t="s">
        <v>1146</v>
      </c>
      <c s="574"/>
      <c s="1503"/>
      <c s="217"/>
      <c s="344"/>
      <c s="337"/>
      <c s="1627"/>
      <c s="1627"/>
      <c r="AH243" s="1634">
        <v>0</v>
      </c>
    </row>
    <row r="244" spans="1:34" s="1638" customFormat="1" ht="0.75" customHeight="1" hidden="1">
      <c r="A244" s="1783"/>
      <c s="1783"/>
      <c s="372" t="s">
        <v>1154</v>
      </c>
      <c s="2465"/>
      <c s="2207"/>
      <c s="2386"/>
      <c s="403"/>
      <c s="1503"/>
      <c s="654"/>
      <c s="574"/>
      <c s="1503"/>
      <c s="217"/>
      <c s="344"/>
      <c s="337"/>
      <c s="1627"/>
      <c s="1627"/>
      <c r="AH244" s="1634">
        <v>0</v>
      </c>
    </row>
    <row r="245" spans="1:34" s="1638" customFormat="1" ht="18.75" customHeight="1" hidden="1">
      <c r="A245" s="1783" t="s">
        <v>240</v>
      </c>
      <c s="1783" t="s">
        <v>241</v>
      </c>
      <c s="372"/>
      <c s="2465"/>
      <c s="2207"/>
      <c s="2386" t="str">
        <f>INDEX(PT_DIFFERENTIATION_VTAR,MATCH(A245,PT_DIFFERENTIATION_VTAR_ID,0))</f>
        <v>Тариф на подвоз воды</v>
      </c>
      <c s="2430" t="str">
        <f>INDEX(PT_DIFFERENTIATION_NTAR,MATCH(B245,PT_DIFFERENTIATION_NTAR_ID,0))</f>
        <v/>
      </c>
      <c s="1865"/>
      <c s="1742"/>
      <c s="1776"/>
      <c s="1781"/>
      <c s="1865" t="s">
        <v>306</v>
      </c>
      <c s="344"/>
      <c s="337"/>
      <c s="1627"/>
      <c s="1627"/>
      <c r="AH245" s="1634">
        <v>0</v>
      </c>
    </row>
    <row r="246" spans="1:34" s="1638" customFormat="1" ht="18.75" customHeight="1" hidden="1">
      <c r="A246" s="1783"/>
      <c s="1783"/>
      <c s="372" t="s">
        <v>1147</v>
      </c>
      <c s="2465"/>
      <c s="2207"/>
      <c s="2386"/>
      <c s="2430"/>
      <c s="1503"/>
      <c s="654" t="s">
        <v>1146</v>
      </c>
      <c s="574"/>
      <c s="1503"/>
      <c s="217"/>
      <c s="344"/>
      <c s="337"/>
      <c s="1627"/>
      <c s="1627"/>
      <c r="AH246" s="1634">
        <v>0</v>
      </c>
    </row>
    <row r="247" spans="1:34" s="1638" customFormat="1" ht="0.75" customHeight="1" hidden="1">
      <c r="A247" s="1783"/>
      <c s="1783"/>
      <c s="372" t="s">
        <v>1154</v>
      </c>
      <c s="2465"/>
      <c s="2207"/>
      <c s="2386"/>
      <c s="403"/>
      <c s="1503"/>
      <c s="654"/>
      <c s="574"/>
      <c s="1503"/>
      <c s="217"/>
      <c s="344"/>
      <c s="337"/>
      <c s="1627"/>
      <c s="1627"/>
      <c r="AH247" s="1634">
        <v>0</v>
      </c>
    </row>
    <row r="248" spans="1:34" s="1638" customFormat="1" ht="18.75" customHeight="1" hidden="1">
      <c r="A248" s="1783" t="s">
        <v>245</v>
      </c>
      <c s="1783" t="s">
        <v>246</v>
      </c>
      <c s="372"/>
      <c s="2465"/>
      <c s="2207"/>
      <c s="2386" t="str">
        <f>INDEX(PT_DIFFERENTIATION_VTAR,MATCH(A248,PT_DIFFERENTIATION_VTAR_ID,0))</f>
        <v>Тариф на подключение (технологическое присоединение) к централизованной системе холодного водоснабжения</v>
      </c>
      <c s="2430" t="str">
        <f>INDEX(PT_DIFFERENTIATION_NTAR,MATCH(B248,PT_DIFFERENTIATION_NTAR_ID,0))</f>
        <v/>
      </c>
      <c s="1865"/>
      <c s="1742"/>
      <c s="1776"/>
      <c s="1781"/>
      <c s="1865" t="s">
        <v>306</v>
      </c>
      <c s="344"/>
      <c s="337"/>
      <c s="1627"/>
      <c s="1627"/>
      <c r="AH248" s="1634">
        <v>0</v>
      </c>
    </row>
    <row r="249" spans="1:34" s="1638" customFormat="1" ht="18.75" customHeight="1" hidden="1">
      <c r="A249" s="1783"/>
      <c s="1783"/>
      <c s="372" t="s">
        <v>1147</v>
      </c>
      <c s="2465"/>
      <c s="2207"/>
      <c s="2386"/>
      <c s="2430"/>
      <c s="1503"/>
      <c s="654" t="s">
        <v>1146</v>
      </c>
      <c s="574"/>
      <c s="1503"/>
      <c s="217"/>
      <c s="344"/>
      <c s="337"/>
      <c s="1627"/>
      <c s="1627"/>
      <c r="AH249" s="1634">
        <v>0</v>
      </c>
    </row>
    <row r="250" spans="1:34" s="1638" customFormat="1" ht="0.75" customHeight="1" hidden="1">
      <c r="A250" s="1783"/>
      <c s="1783"/>
      <c s="372" t="s">
        <v>1154</v>
      </c>
      <c s="2465"/>
      <c s="2207"/>
      <c s="2386"/>
      <c s="403"/>
      <c s="1503"/>
      <c s="654"/>
      <c s="574"/>
      <c s="1503"/>
      <c s="217"/>
      <c s="344"/>
      <c s="337"/>
      <c s="1627"/>
      <c s="1627"/>
      <c r="AH250" s="1634">
        <v>0</v>
      </c>
    </row>
    <row r="251" spans="1:34" s="1638" customFormat="1" ht="18.75" customHeight="1" hidden="1">
      <c r="A251" s="1783" t="s">
        <v>250</v>
      </c>
      <c s="1783" t="s">
        <v>251</v>
      </c>
      <c s="372"/>
      <c s="2465"/>
      <c s="2207"/>
      <c s="2386" t="str">
        <f>INDEX(PT_DIFFERENTIATION_VTAR,MATCH(A251,PT_DIFFERENTIATION_VTAR_ID,0))</f>
        <v>Тариф на горячую воду (горячее водоснабжение)</v>
      </c>
      <c s="2430" t="str">
        <f>INDEX(PT_DIFFERENTIATION_NTAR,MATCH(B251,PT_DIFFERENTIATION_NTAR_ID,0))</f>
        <v/>
      </c>
      <c s="1865"/>
      <c s="1742"/>
      <c s="1776"/>
      <c s="1781"/>
      <c s="1865" t="s">
        <v>306</v>
      </c>
      <c s="344"/>
      <c s="337"/>
      <c s="1627"/>
      <c s="1627"/>
      <c r="AH251" s="1634">
        <v>0</v>
      </c>
    </row>
    <row r="252" spans="1:34" s="1638" customFormat="1" ht="18.75" customHeight="1" hidden="1">
      <c r="A252" s="1783"/>
      <c s="1783"/>
      <c s="372" t="s">
        <v>1147</v>
      </c>
      <c s="2465"/>
      <c s="2207"/>
      <c s="2386"/>
      <c s="2430"/>
      <c s="1503"/>
      <c s="654" t="s">
        <v>1146</v>
      </c>
      <c s="574"/>
      <c s="1503"/>
      <c s="217"/>
      <c s="344"/>
      <c s="337"/>
      <c s="1627"/>
      <c s="1627"/>
      <c r="AH252" s="1634">
        <v>0</v>
      </c>
    </row>
    <row r="253" spans="1:34" s="1638" customFormat="1" ht="0.75" customHeight="1" hidden="1">
      <c r="A253" s="1783"/>
      <c s="1783"/>
      <c s="372" t="s">
        <v>1154</v>
      </c>
      <c s="2465"/>
      <c s="2207"/>
      <c s="2386"/>
      <c s="403"/>
      <c s="1503"/>
      <c s="654"/>
      <c s="574"/>
      <c s="1503"/>
      <c s="217"/>
      <c s="344"/>
      <c s="337"/>
      <c s="1627"/>
      <c s="1627"/>
      <c r="AH253" s="1634">
        <v>0</v>
      </c>
    </row>
    <row r="254" spans="1:34" s="1638" customFormat="1" ht="18.75" customHeight="1" hidden="1">
      <c r="A254" s="1783" t="s">
        <v>255</v>
      </c>
      <c s="1783" t="s">
        <v>256</v>
      </c>
      <c s="372"/>
      <c s="2465"/>
      <c s="2207"/>
      <c s="2386" t="str">
        <f>INDEX(PT_DIFFERENTIATION_VTAR,MATCH(A254,PT_DIFFERENTIATION_VTAR_ID,0))</f>
        <v>Тариф на транспортировку горячей воды</v>
      </c>
      <c s="2430" t="str">
        <f>INDEX(PT_DIFFERENTIATION_NTAR,MATCH(B254,PT_DIFFERENTIATION_NTAR_ID,0))</f>
        <v/>
      </c>
      <c s="1865"/>
      <c s="1742"/>
      <c s="1776"/>
      <c s="1781"/>
      <c s="1865" t="s">
        <v>306</v>
      </c>
      <c s="344"/>
      <c s="337"/>
      <c s="1627"/>
      <c s="1627"/>
      <c r="AH254" s="1634">
        <v>0</v>
      </c>
    </row>
    <row r="255" spans="1:34" s="1638" customFormat="1" ht="18.75" customHeight="1" hidden="1">
      <c r="A255" s="1783"/>
      <c s="1783"/>
      <c s="372" t="s">
        <v>1147</v>
      </c>
      <c s="2465"/>
      <c s="2207"/>
      <c s="2386"/>
      <c s="2430"/>
      <c s="1503"/>
      <c s="654" t="s">
        <v>1146</v>
      </c>
      <c s="574"/>
      <c s="1503"/>
      <c s="217"/>
      <c s="344"/>
      <c s="337"/>
      <c s="1627"/>
      <c s="1627"/>
      <c r="AH255" s="1634">
        <v>0</v>
      </c>
    </row>
    <row r="256" spans="1:34" s="1638" customFormat="1" ht="0.75" customHeight="1" hidden="1">
      <c r="A256" s="1783"/>
      <c s="1783"/>
      <c s="372" t="s">
        <v>1154</v>
      </c>
      <c s="2465"/>
      <c s="2207"/>
      <c s="2386"/>
      <c s="403"/>
      <c s="1503"/>
      <c s="654"/>
      <c s="574"/>
      <c s="1503"/>
      <c s="217"/>
      <c s="344"/>
      <c s="337"/>
      <c s="1627"/>
      <c s="1627"/>
      <c r="AH256" s="1634">
        <v>0</v>
      </c>
    </row>
    <row r="257" spans="1:34" s="1638" customFormat="1" ht="18.75" customHeight="1" hidden="1">
      <c r="A257" s="1783" t="s">
        <v>260</v>
      </c>
      <c s="1783" t="s">
        <v>261</v>
      </c>
      <c s="372"/>
      <c s="2465"/>
      <c s="2207"/>
      <c s="2386" t="str">
        <f>INDEX(PT_DIFFERENTIATION_VTAR,MATCH(A257,PT_DIFFERENTIATION_VTAR_ID,0))</f>
        <v>Тариф на подключение (технологическое присоединение) к централизованной системе горячего водоснабжения</v>
      </c>
      <c s="2430" t="str">
        <f>INDEX(PT_DIFFERENTIATION_NTAR,MATCH(B257,PT_DIFFERENTIATION_NTAR_ID,0))</f>
        <v/>
      </c>
      <c s="1865"/>
      <c s="1742"/>
      <c s="1776"/>
      <c s="1781"/>
      <c s="1865" t="s">
        <v>306</v>
      </c>
      <c s="344"/>
      <c s="337"/>
      <c s="1627"/>
      <c s="1627"/>
      <c r="AH257" s="1634">
        <v>0</v>
      </c>
    </row>
    <row r="258" spans="1:34" s="1638" customFormat="1" ht="18.75" customHeight="1" hidden="1">
      <c r="A258" s="1783"/>
      <c s="1783"/>
      <c s="372" t="s">
        <v>1147</v>
      </c>
      <c s="2465"/>
      <c s="2207"/>
      <c s="2386"/>
      <c s="2430"/>
      <c s="1503"/>
      <c s="654" t="s">
        <v>1146</v>
      </c>
      <c s="574"/>
      <c s="1503"/>
      <c s="217"/>
      <c s="344"/>
      <c s="337"/>
      <c s="1627"/>
      <c s="1627"/>
      <c r="AH258" s="1634">
        <v>0</v>
      </c>
    </row>
    <row r="259" spans="1:34" s="1638" customFormat="1" ht="0.75" customHeight="1" hidden="1">
      <c r="A259" s="1783"/>
      <c s="1783"/>
      <c s="372" t="s">
        <v>1154</v>
      </c>
      <c s="2465"/>
      <c s="2207"/>
      <c s="2386"/>
      <c s="403"/>
      <c s="1503"/>
      <c s="654"/>
      <c s="574"/>
      <c s="1503"/>
      <c s="217"/>
      <c s="344"/>
      <c s="337"/>
      <c s="1627"/>
      <c s="1627"/>
      <c r="AH259" s="1634">
        <v>0</v>
      </c>
    </row>
    <row r="260" spans="1:34" s="1638" customFormat="1" ht="18.75" customHeight="1" hidden="1">
      <c r="A260" s="1783" t="s">
        <v>265</v>
      </c>
      <c s="1783" t="s">
        <v>266</v>
      </c>
      <c s="372"/>
      <c s="2465"/>
      <c s="2207"/>
      <c s="2386" t="str">
        <f>INDEX(PT_DIFFERENTIATION_VTAR,MATCH(A260,PT_DIFFERENTIATION_VTAR_ID,0))</f>
        <v>Тариф на водоотведение</v>
      </c>
      <c s="2430" t="str">
        <f>INDEX(PT_DIFFERENTIATION_NTAR,MATCH(B260,PT_DIFFERENTIATION_NTAR_ID,0))</f>
        <v/>
      </c>
      <c s="1865"/>
      <c s="1742"/>
      <c s="1776"/>
      <c s="1781"/>
      <c s="1865" t="s">
        <v>306</v>
      </c>
      <c s="344"/>
      <c s="337"/>
      <c s="1627"/>
      <c s="1627"/>
      <c r="AH260" s="1634">
        <v>0</v>
      </c>
    </row>
    <row r="261" spans="1:34" s="1638" customFormat="1" ht="18.75" customHeight="1" hidden="1">
      <c r="A261" s="1783"/>
      <c s="1783"/>
      <c s="372" t="s">
        <v>1147</v>
      </c>
      <c s="2465"/>
      <c s="2207"/>
      <c s="2386"/>
      <c s="2430"/>
      <c s="1503"/>
      <c s="654" t="s">
        <v>1146</v>
      </c>
      <c s="574"/>
      <c s="1503"/>
      <c s="217"/>
      <c s="344"/>
      <c s="337"/>
      <c s="1627"/>
      <c s="1627"/>
      <c r="AH261" s="1634">
        <v>0</v>
      </c>
    </row>
    <row r="262" spans="1:34" s="1638" customFormat="1" ht="0.75" customHeight="1" hidden="1">
      <c r="A262" s="1783"/>
      <c s="1783"/>
      <c s="372" t="s">
        <v>1154</v>
      </c>
      <c s="2465"/>
      <c s="2207"/>
      <c s="2386"/>
      <c s="403"/>
      <c s="1503"/>
      <c s="654"/>
      <c s="574"/>
      <c s="1503"/>
      <c s="217"/>
      <c s="344"/>
      <c s="337"/>
      <c s="1627"/>
      <c s="1627"/>
      <c r="AH262" s="1634">
        <v>0</v>
      </c>
    </row>
    <row r="263" spans="1:34" s="1638" customFormat="1" ht="18.75" customHeight="1" hidden="1">
      <c r="A263" s="1783" t="s">
        <v>270</v>
      </c>
      <c s="1783" t="s">
        <v>271</v>
      </c>
      <c s="372"/>
      <c s="2465"/>
      <c s="2207"/>
      <c s="2386" t="str">
        <f>INDEX(PT_DIFFERENTIATION_VTAR,MATCH(A263,PT_DIFFERENTIATION_VTAR_ID,0))</f>
        <v>Тариф на транспортировку сточных вод</v>
      </c>
      <c s="2430" t="str">
        <f>INDEX(PT_DIFFERENTIATION_NTAR,MATCH(B263,PT_DIFFERENTIATION_NTAR_ID,0))</f>
        <v/>
      </c>
      <c s="1865"/>
      <c s="1742"/>
      <c s="1776"/>
      <c s="1781"/>
      <c s="1865" t="s">
        <v>306</v>
      </c>
      <c s="344"/>
      <c s="337"/>
      <c s="1627"/>
      <c s="1627"/>
      <c r="AH263" s="1634">
        <v>0</v>
      </c>
    </row>
    <row r="264" spans="1:34" s="1638" customFormat="1" ht="18.75" customHeight="1" hidden="1">
      <c r="A264" s="1783"/>
      <c s="1783"/>
      <c s="372" t="s">
        <v>1147</v>
      </c>
      <c s="2465"/>
      <c s="2207"/>
      <c s="2386"/>
      <c s="2430"/>
      <c s="1503"/>
      <c s="654" t="s">
        <v>1146</v>
      </c>
      <c s="574"/>
      <c s="1503"/>
      <c s="217"/>
      <c s="344"/>
      <c s="337"/>
      <c s="1627"/>
      <c s="1627"/>
      <c r="AH264" s="1634">
        <v>0</v>
      </c>
    </row>
    <row r="265" spans="1:34" s="1638" customFormat="1" ht="0.75" customHeight="1" hidden="1">
      <c r="A265" s="1783"/>
      <c s="1783"/>
      <c s="372" t="s">
        <v>1154</v>
      </c>
      <c s="2465"/>
      <c s="2207"/>
      <c s="2386"/>
      <c s="403"/>
      <c s="1503"/>
      <c s="654"/>
      <c s="574"/>
      <c s="1503"/>
      <c s="217"/>
      <c s="344"/>
      <c s="337"/>
      <c s="1627"/>
      <c s="1627"/>
      <c r="AH265" s="1634">
        <v>0</v>
      </c>
    </row>
    <row r="266" spans="1:34" s="1638" customFormat="1" ht="18.75" customHeight="1" hidden="1">
      <c r="A266" s="1783" t="s">
        <v>275</v>
      </c>
      <c s="1783" t="s">
        <v>276</v>
      </c>
      <c s="372"/>
      <c s="2465"/>
      <c s="2207"/>
      <c s="2386" t="str">
        <f>INDEX(PT_DIFFERENTIATION_VTAR,MATCH(A266,PT_DIFFERENTIATION_VTAR_ID,0))</f>
        <v>Тариф на подключение (технологическое присоединение) к централизованной системе водоотведения</v>
      </c>
      <c s="2430" t="str">
        <f>INDEX(PT_DIFFERENTIATION_NTAR,MATCH(B266,PT_DIFFERENTIATION_NTAR_ID,0))</f>
        <v/>
      </c>
      <c s="1865"/>
      <c s="1742"/>
      <c s="1776"/>
      <c s="1781"/>
      <c s="1865" t="s">
        <v>306</v>
      </c>
      <c s="344"/>
      <c s="337"/>
      <c s="1627"/>
      <c s="1627"/>
      <c r="AH266" s="1634">
        <v>0</v>
      </c>
    </row>
    <row r="267" spans="1:34" s="1638" customFormat="1" ht="18.75" customHeight="1" hidden="1">
      <c r="A267" s="1783"/>
      <c s="1783"/>
      <c s="372" t="s">
        <v>1147</v>
      </c>
      <c s="2465"/>
      <c s="2207"/>
      <c s="2386"/>
      <c s="2430"/>
      <c s="1503"/>
      <c s="654" t="s">
        <v>1146</v>
      </c>
      <c s="574"/>
      <c s="1503"/>
      <c s="217"/>
      <c s="344"/>
      <c s="337"/>
      <c s="1627"/>
      <c s="1627"/>
      <c r="AH267" s="1634">
        <v>0</v>
      </c>
    </row>
    <row r="268" spans="1:34" s="1638" customFormat="1" ht="1.05" customHeight="1">
      <c r="A268" s="1783"/>
      <c s="1783"/>
      <c s="372" t="s">
        <v>1154</v>
      </c>
      <c s="2465"/>
      <c s="2207"/>
      <c s="2386"/>
      <c s="403"/>
      <c s="1503"/>
      <c s="654"/>
      <c s="574"/>
      <c s="1503"/>
      <c s="217"/>
      <c s="344"/>
      <c s="337"/>
      <c s="1627"/>
      <c s="1627"/>
      <c r="AH268" s="1634">
        <v>1</v>
      </c>
    </row>
    <row r="269" spans="1:34" ht="27.3" customHeight="1">
      <c r="A269" s="1783"/>
      <c s="1783"/>
      <c r="D269" s="379"/>
      <c s="150" t="s">
        <v>91</v>
      </c>
      <c s="2463" t="str">
        <f>"Размер экономически обоснованных расходов, не учтенных при установлении "&amp;IF(TEMPLATE_SPHERE="HEAT","регулируемых цен (тарифов)","тарифов")&amp;" в предыдущий период регулирования (при их наличии), "&amp;IF(TEMPLATE_SPHERE="HEAT","определенном в соответствии с законодательством в сфере теплоснабжения","определенных в соответствии с Основами ценообразования в сфере водоснабжения и водоотведения")</f>
        <v>Размер экономически обоснованных расходов, не учтенных при установлении тарифов в предыдущий период регулирования (при их наличии), определенных в соответствии с Основами ценообразования в сфере водоснабжения и водоотведения</v>
      </c>
      <c s="2463"/>
      <c s="2463"/>
      <c s="2463"/>
      <c s="2463"/>
      <c s="2463"/>
      <c s="2463"/>
      <c s="300"/>
      <c s="337"/>
      <c r="AH269" s="377">
        <v>26</v>
      </c>
    </row>
    <row r="270" spans="1:34" s="1638" customFormat="1" ht="60.75" customHeight="1" hidden="1">
      <c r="A270" s="1783" t="s">
        <v>157</v>
      </c>
      <c s="1783" t="s">
        <v>158</v>
      </c>
      <c s="372"/>
      <c s="2465"/>
      <c s="2207"/>
      <c s="2386" t="str">
        <f>INDEX(PT_DIFFERENTIATION_VTAR,MATCH(A270,PT_DIFFERENTIATION_VTAR_ID,0))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s="2430" t="str">
        <f>INDEX(PT_DIFFERENTIATION_NTAR,MATCH(B270,PT_DIFFERENTIATION_NTAR_ID,0))</f>
        <v/>
      </c>
      <c s="1865"/>
      <c s="1742"/>
      <c s="1776"/>
      <c s="1781"/>
      <c s="1865" t="s">
        <v>306</v>
      </c>
      <c s="2172"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"&amp;"В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"&amp;"В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водоотведения,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v>
      </c>
      <c s="337"/>
      <c s="1627"/>
      <c s="1627"/>
      <c r="AH270" s="1634">
        <v>0</v>
      </c>
    </row>
    <row r="271" spans="1:34" s="1638" customFormat="1" ht="18.75" customHeight="1" hidden="1">
      <c r="A271" s="1783"/>
      <c s="1783"/>
      <c s="372" t="s">
        <v>1147</v>
      </c>
      <c s="2465"/>
      <c s="2207"/>
      <c s="2386"/>
      <c s="2430"/>
      <c s="1503"/>
      <c s="654" t="s">
        <v>1146</v>
      </c>
      <c s="574"/>
      <c s="1503"/>
      <c s="217"/>
      <c s="2173"/>
      <c s="337"/>
      <c s="1627"/>
      <c s="1627"/>
      <c r="AH271" s="1634">
        <v>0</v>
      </c>
    </row>
    <row r="272" spans="1:34" s="1638" customFormat="1" ht="0.75" customHeight="1" hidden="1">
      <c r="A272" s="1783"/>
      <c s="1783"/>
      <c s="372" t="s">
        <v>1154</v>
      </c>
      <c s="2465"/>
      <c s="2207"/>
      <c s="2386"/>
      <c s="403"/>
      <c s="1503"/>
      <c s="654"/>
      <c s="574"/>
      <c s="1503"/>
      <c s="217"/>
      <c s="2173"/>
      <c s="337"/>
      <c s="1627"/>
      <c s="1627"/>
      <c r="AH272" s="1634">
        <v>0</v>
      </c>
    </row>
    <row r="273" spans="1:34" s="1638" customFormat="1" ht="45" customHeight="1" hidden="1">
      <c r="A273" s="1783" t="s">
        <v>162</v>
      </c>
      <c s="1783" t="s">
        <v>163</v>
      </c>
      <c s="372"/>
      <c s="2465"/>
      <c s="2207"/>
      <c s="2386" t="str">
        <f>INDEX(PT_DIFFERENTIATION_VTAR,MATCH(A273,PT_DIFFERENTIATION_VTAR_ID,0))</f>
        <v/>
      </c>
      <c s="2430" t="str">
        <f>INDEX(PT_DIFFERENTIATION_NTAR,MATCH(B273,PT_DIFFERENTIATION_NTAR_ID,0))</f>
        <v/>
      </c>
      <c s="1865"/>
      <c s="1742"/>
      <c s="1776"/>
      <c s="1781"/>
      <c s="1865" t="s">
        <v>306</v>
      </c>
      <c s="2174"/>
      <c s="337"/>
      <c s="1627"/>
      <c s="1627"/>
      <c r="AH273" s="1634">
        <v>0</v>
      </c>
    </row>
    <row r="274" spans="1:34" s="1638" customFormat="1" ht="18.75" customHeight="1" hidden="1">
      <c r="A274" s="1783"/>
      <c s="1783"/>
      <c s="372" t="s">
        <v>1147</v>
      </c>
      <c s="2465"/>
      <c s="2207"/>
      <c s="2386"/>
      <c s="2430"/>
      <c s="1503"/>
      <c s="654" t="s">
        <v>1146</v>
      </c>
      <c s="574"/>
      <c s="1503"/>
      <c s="217"/>
      <c s="1864"/>
      <c s="337"/>
      <c s="1627"/>
      <c s="1627"/>
      <c r="AH274" s="1634">
        <v>0</v>
      </c>
    </row>
    <row r="275" spans="1:34" s="1638" customFormat="1" ht="0.75" customHeight="1" hidden="1">
      <c r="A275" s="1783"/>
      <c s="1783"/>
      <c s="372" t="s">
        <v>1154</v>
      </c>
      <c s="2465"/>
      <c s="2207"/>
      <c s="2386"/>
      <c s="403"/>
      <c s="1503"/>
      <c s="654"/>
      <c s="574"/>
      <c s="1503"/>
      <c s="217"/>
      <c s="344"/>
      <c s="337"/>
      <c s="1627"/>
      <c s="1627"/>
      <c r="AH275" s="1634">
        <v>0</v>
      </c>
    </row>
    <row r="276" spans="1:34" s="1638" customFormat="1" ht="45" customHeight="1" hidden="1">
      <c r="A276" s="1783" t="s">
        <v>169</v>
      </c>
      <c s="1783" t="s">
        <v>170</v>
      </c>
      <c s="372"/>
      <c s="2465"/>
      <c s="2207"/>
      <c s="2386" t="str">
        <f>INDEX(PT_DIFFERENTIATION_VTAR,MATCH(A276,PT_DIFFERENTIATION_VTAR_ID,0))</f>
        <v>Тарифы на теплоноситель, поставляемый теплоснабжающими организациями потребителям, другим теплоснабжающим организациям</v>
      </c>
      <c s="2430" t="str">
        <f>INDEX(PT_DIFFERENTIATION_NTAR,MATCH(B276,PT_DIFFERENTIATION_NTAR_ID,0))</f>
        <v/>
      </c>
      <c s="1865"/>
      <c s="1742"/>
      <c s="1776"/>
      <c s="1781"/>
      <c s="1865" t="s">
        <v>306</v>
      </c>
      <c s="344"/>
      <c s="337"/>
      <c s="1627"/>
      <c s="1627"/>
      <c r="AH276" s="1634">
        <v>0</v>
      </c>
    </row>
    <row r="277" spans="1:34" s="1638" customFormat="1" ht="18.75" customHeight="1" hidden="1">
      <c r="A277" s="1783"/>
      <c s="1783"/>
      <c s="372" t="s">
        <v>1147</v>
      </c>
      <c s="2465"/>
      <c s="2207"/>
      <c s="2386"/>
      <c s="2430"/>
      <c s="1503"/>
      <c s="654" t="s">
        <v>1146</v>
      </c>
      <c s="574"/>
      <c s="1503"/>
      <c s="217"/>
      <c s="344"/>
      <c s="337"/>
      <c s="1627"/>
      <c s="1627"/>
      <c r="AH277" s="1634">
        <v>0</v>
      </c>
    </row>
    <row r="278" spans="1:34" s="1638" customFormat="1" ht="0.75" customHeight="1" hidden="1">
      <c r="A278" s="1783"/>
      <c s="1783"/>
      <c s="372" t="s">
        <v>1154</v>
      </c>
      <c s="2465"/>
      <c s="2207"/>
      <c s="2386"/>
      <c s="403"/>
      <c s="1503"/>
      <c s="654"/>
      <c s="574"/>
      <c s="1503"/>
      <c s="217"/>
      <c s="344"/>
      <c s="337"/>
      <c s="1627"/>
      <c s="1627"/>
      <c r="AH278" s="1634">
        <v>0</v>
      </c>
    </row>
    <row r="279" spans="1:34" s="1638" customFormat="1" ht="45" customHeight="1" hidden="1">
      <c r="A279" s="1783" t="s">
        <v>175</v>
      </c>
      <c s="1783" t="s">
        <v>176</v>
      </c>
      <c s="372"/>
      <c s="2465"/>
      <c s="2207"/>
      <c s="2386" t="str">
        <f>INDEX(PT_DIFFERENTIATION_VTAR,MATCH(A279,PT_DIFFERENTIATION_VTAR_ID,0))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s="2430" t="str">
        <f>INDEX(PT_DIFFERENTIATION_NTAR,MATCH(B279,PT_DIFFERENTIATION_NTAR_ID,0))</f>
        <v/>
      </c>
      <c s="1865"/>
      <c s="1742"/>
      <c s="1776"/>
      <c s="1781"/>
      <c s="1865" t="s">
        <v>306</v>
      </c>
      <c s="344"/>
      <c s="337"/>
      <c s="1627"/>
      <c s="1627"/>
      <c r="AH279" s="1634">
        <v>0</v>
      </c>
    </row>
    <row r="280" spans="1:34" s="1638" customFormat="1" ht="18.75" customHeight="1" hidden="1">
      <c r="A280" s="1783"/>
      <c s="1783"/>
      <c s="372" t="s">
        <v>1147</v>
      </c>
      <c s="2465"/>
      <c s="2207"/>
      <c s="2386"/>
      <c s="2430"/>
      <c s="1503"/>
      <c s="654" t="s">
        <v>1146</v>
      </c>
      <c s="574"/>
      <c s="1503"/>
      <c s="217"/>
      <c s="344"/>
      <c s="337"/>
      <c s="1627"/>
      <c s="1627"/>
      <c r="AH280" s="1634">
        <v>0</v>
      </c>
    </row>
    <row r="281" spans="1:34" s="1638" customFormat="1" ht="0.75" customHeight="1" hidden="1">
      <c r="A281" s="1783"/>
      <c s="1783"/>
      <c s="372" t="s">
        <v>1154</v>
      </c>
      <c s="2465"/>
      <c s="2207"/>
      <c s="2386"/>
      <c s="403"/>
      <c s="1503"/>
      <c s="654"/>
      <c s="574"/>
      <c s="1503"/>
      <c s="217"/>
      <c s="344"/>
      <c s="337"/>
      <c s="1627"/>
      <c s="1627"/>
      <c r="AH281" s="1634">
        <v>0</v>
      </c>
    </row>
    <row r="282" spans="1:34" s="1638" customFormat="1" ht="18.75" customHeight="1" hidden="1">
      <c r="A282" s="1783" t="s">
        <v>181</v>
      </c>
      <c s="1783" t="s">
        <v>182</v>
      </c>
      <c s="372"/>
      <c s="2465"/>
      <c s="2207"/>
      <c s="2386" t="str">
        <f>INDEX(PT_DIFFERENTIATION_VTAR,MATCH(A282,PT_DIFFERENTIATION_VTAR_ID,0))</f>
        <v>Тарифы на услуги по передаче тепловой энергии</v>
      </c>
      <c s="2430" t="str">
        <f>INDEX(PT_DIFFERENTIATION_NTAR,MATCH(B282,PT_DIFFERENTIATION_NTAR_ID,0))</f>
        <v/>
      </c>
      <c s="1865"/>
      <c s="1742"/>
      <c s="1776"/>
      <c s="1781"/>
      <c s="1865" t="s">
        <v>306</v>
      </c>
      <c s="344"/>
      <c s="337"/>
      <c s="1627"/>
      <c s="1627"/>
      <c r="AH282" s="1634">
        <v>0</v>
      </c>
    </row>
    <row r="283" spans="1:34" s="1638" customFormat="1" ht="18.75" customHeight="1" hidden="1">
      <c r="A283" s="1783"/>
      <c s="1783"/>
      <c s="372" t="s">
        <v>1147</v>
      </c>
      <c s="2465"/>
      <c s="2207"/>
      <c s="2386"/>
      <c s="2430"/>
      <c s="1503"/>
      <c s="654" t="s">
        <v>1146</v>
      </c>
      <c s="574"/>
      <c s="1503"/>
      <c s="217"/>
      <c s="344"/>
      <c s="337"/>
      <c s="1627"/>
      <c s="1627"/>
      <c r="AH283" s="1634">
        <v>0</v>
      </c>
    </row>
    <row r="284" spans="1:34" s="1638" customFormat="1" ht="0.75" customHeight="1" hidden="1">
      <c r="A284" s="1783"/>
      <c s="1783"/>
      <c s="372" t="s">
        <v>1154</v>
      </c>
      <c s="2465"/>
      <c s="2207"/>
      <c s="2386"/>
      <c s="403"/>
      <c s="1503"/>
      <c s="654"/>
      <c s="574"/>
      <c s="1503"/>
      <c s="217"/>
      <c s="344"/>
      <c s="337"/>
      <c s="1627"/>
      <c s="1627"/>
      <c r="AH284" s="1634">
        <v>0</v>
      </c>
    </row>
    <row r="285" spans="1:34" s="1638" customFormat="1" ht="18.75" customHeight="1" hidden="1">
      <c r="A285" s="1783" t="s">
        <v>187</v>
      </c>
      <c s="1783" t="s">
        <v>188</v>
      </c>
      <c s="372"/>
      <c s="2465"/>
      <c s="2207"/>
      <c s="2386" t="str">
        <f>INDEX(PT_DIFFERENTIATION_VTAR,MATCH(A285,PT_DIFFERENTIATION_VTAR_ID,0))</f>
        <v>Тарифы на услуги по передаче теплоносителя</v>
      </c>
      <c s="2430" t="str">
        <f>INDEX(PT_DIFFERENTIATION_NTAR,MATCH(B285,PT_DIFFERENTIATION_NTAR_ID,0))</f>
        <v/>
      </c>
      <c s="1865"/>
      <c s="1742"/>
      <c s="1776"/>
      <c s="1781"/>
      <c s="1865" t="s">
        <v>306</v>
      </c>
      <c s="344"/>
      <c s="337"/>
      <c s="1627"/>
      <c s="1627"/>
      <c r="AH285" s="1634">
        <v>0</v>
      </c>
    </row>
    <row r="286" spans="1:34" s="1638" customFormat="1" ht="18.75" customHeight="1" hidden="1">
      <c r="A286" s="1783"/>
      <c s="1783"/>
      <c s="372" t="s">
        <v>1147</v>
      </c>
      <c s="2465"/>
      <c s="2207"/>
      <c s="2386"/>
      <c s="2430"/>
      <c s="1503"/>
      <c s="654" t="s">
        <v>1146</v>
      </c>
      <c s="574"/>
      <c s="1503"/>
      <c s="217"/>
      <c s="344"/>
      <c s="337"/>
      <c s="1627"/>
      <c s="1627"/>
      <c r="AH286" s="1634">
        <v>0</v>
      </c>
    </row>
    <row r="287" spans="1:34" s="1638" customFormat="1" ht="0.75" customHeight="1" hidden="1">
      <c r="A287" s="1783"/>
      <c s="1783"/>
      <c s="372" t="s">
        <v>1154</v>
      </c>
      <c s="2465"/>
      <c s="2207"/>
      <c s="2386"/>
      <c s="403"/>
      <c s="1503"/>
      <c s="654"/>
      <c s="574"/>
      <c s="1503"/>
      <c s="217"/>
      <c s="344"/>
      <c s="337"/>
      <c s="1627"/>
      <c s="1627"/>
      <c r="AH287" s="1634">
        <v>0</v>
      </c>
    </row>
    <row r="288" spans="1:34" s="1638" customFormat="1" ht="18.75" customHeight="1" hidden="1">
      <c r="A288" s="1783" t="s">
        <v>193</v>
      </c>
      <c s="1783" t="s">
        <v>194</v>
      </c>
      <c s="372"/>
      <c s="2465"/>
      <c s="2207"/>
      <c s="2386" t="str">
        <f>INDEX(PT_DIFFERENTIATION_VTAR,MATCH(A288,PT_DIFFERENTIATION_VTAR_ID,0))</f>
        <v>Плата за услуги по поддержанию резервной тепловой мощности при отсутствии потребления тепловой энергии</v>
      </c>
      <c s="2430" t="str">
        <f>INDEX(PT_DIFFERENTIATION_NTAR,MATCH(B288,PT_DIFFERENTIATION_NTAR_ID,0))</f>
        <v/>
      </c>
      <c s="1865"/>
      <c s="1742"/>
      <c s="1776"/>
      <c s="1781"/>
      <c s="1865" t="s">
        <v>306</v>
      </c>
      <c s="344"/>
      <c s="337"/>
      <c s="1627"/>
      <c s="1627"/>
      <c r="AH288" s="1634">
        <v>0</v>
      </c>
    </row>
    <row r="289" spans="1:34" s="1638" customFormat="1" ht="18.75" customHeight="1" hidden="1">
      <c r="A289" s="1783"/>
      <c s="1783"/>
      <c s="372" t="s">
        <v>1147</v>
      </c>
      <c s="2465"/>
      <c s="2207"/>
      <c s="2386"/>
      <c s="2430"/>
      <c s="1503"/>
      <c s="654" t="s">
        <v>1146</v>
      </c>
      <c s="574"/>
      <c s="1503"/>
      <c s="217"/>
      <c s="344"/>
      <c s="337"/>
      <c s="1627"/>
      <c s="1627"/>
      <c r="AH289" s="1634">
        <v>0</v>
      </c>
    </row>
    <row r="290" spans="1:34" s="1638" customFormat="1" ht="0.75" customHeight="1" hidden="1">
      <c r="A290" s="1783"/>
      <c s="1783"/>
      <c s="372" t="s">
        <v>1154</v>
      </c>
      <c s="2465"/>
      <c s="2207"/>
      <c s="2386"/>
      <c s="403"/>
      <c s="1503"/>
      <c s="654"/>
      <c s="574"/>
      <c s="1503"/>
      <c s="217"/>
      <c s="344"/>
      <c s="337"/>
      <c s="1627"/>
      <c s="1627"/>
      <c r="AH290" s="1634">
        <v>0</v>
      </c>
    </row>
    <row r="291" spans="1:34" s="1638" customFormat="1" ht="18.75" customHeight="1" hidden="1">
      <c r="A291" s="1783" t="s">
        <v>199</v>
      </c>
      <c s="1783" t="s">
        <v>200</v>
      </c>
      <c s="372"/>
      <c s="2465"/>
      <c s="2207"/>
      <c s="2386" t="str">
        <f>INDEX(PT_DIFFERENTIATION_VTAR,MATCH(A291,PT_DIFFERENTIATION_VTAR_ID,0))</f>
        <v>Плата за подключение (технологическое присоединение) к системе теплоснабжения</v>
      </c>
      <c s="2430" t="str">
        <f>INDEX(PT_DIFFERENTIATION_NTAR,MATCH(B291,PT_DIFFERENTIATION_NTAR_ID,0))</f>
        <v/>
      </c>
      <c s="1865"/>
      <c s="1742"/>
      <c s="1776"/>
      <c s="1781"/>
      <c s="1865" t="s">
        <v>306</v>
      </c>
      <c s="344"/>
      <c s="337"/>
      <c s="1627"/>
      <c s="1627"/>
      <c r="AH291" s="1634">
        <v>0</v>
      </c>
    </row>
    <row r="292" spans="1:34" s="1638" customFormat="1" ht="18.75" customHeight="1" hidden="1">
      <c r="A292" s="1783"/>
      <c s="1783"/>
      <c s="372" t="s">
        <v>1147</v>
      </c>
      <c s="2465"/>
      <c s="2207"/>
      <c s="2386"/>
      <c s="2430"/>
      <c s="1503"/>
      <c s="654" t="s">
        <v>1146</v>
      </c>
      <c s="574"/>
      <c s="1503"/>
      <c s="217"/>
      <c s="344"/>
      <c s="337"/>
      <c s="1627"/>
      <c s="1627"/>
      <c r="AH292" s="1634">
        <v>0</v>
      </c>
    </row>
    <row r="293" spans="1:34" s="1638" customFormat="1" ht="0.75" customHeight="1" hidden="1">
      <c r="A293" s="1783"/>
      <c s="1783"/>
      <c s="372" t="s">
        <v>1154</v>
      </c>
      <c s="2465"/>
      <c s="2207"/>
      <c s="2386"/>
      <c s="403"/>
      <c s="1503"/>
      <c s="654"/>
      <c s="574"/>
      <c s="1503"/>
      <c s="217"/>
      <c s="344"/>
      <c s="337"/>
      <c s="1627"/>
      <c s="1627"/>
      <c r="AH293" s="1634">
        <v>0</v>
      </c>
    </row>
    <row r="294" spans="1:34" s="1638" customFormat="1" ht="18.75" customHeight="1" hidden="1">
      <c r="A294" s="1783" t="s">
        <v>205</v>
      </c>
      <c s="1783" t="s">
        <v>206</v>
      </c>
      <c s="372"/>
      <c s="2465"/>
      <c s="2207"/>
      <c s="2386" t="str">
        <f>INDEX(PT_DIFFERENTIATION_VTAR,MATCH(A294,PT_DIFFERENTIATION_VTAR_ID,0))</f>
        <v>Плата за подключение (технологическое присоединение) к системе теплоснабжения (индивидуальная)</v>
      </c>
      <c s="2430" t="str">
        <f>INDEX(PT_DIFFERENTIATION_NTAR,MATCH(B294,PT_DIFFERENTIATION_NTAR_ID,0))</f>
        <v/>
      </c>
      <c s="1992"/>
      <c s="1742"/>
      <c s="1776"/>
      <c s="1781"/>
      <c s="1992" t="s">
        <v>306</v>
      </c>
      <c s="344"/>
      <c s="337"/>
      <c s="1627"/>
      <c s="1627"/>
      <c r="AH294" s="1634">
        <v>0</v>
      </c>
    </row>
    <row r="295" spans="1:34" s="1638" customFormat="1" ht="18.75" customHeight="1" hidden="1">
      <c r="A295" s="1783"/>
      <c s="1783"/>
      <c s="372" t="s">
        <v>1147</v>
      </c>
      <c s="2465"/>
      <c s="2207"/>
      <c s="2386"/>
      <c s="2430"/>
      <c s="1503"/>
      <c s="654" t="s">
        <v>1146</v>
      </c>
      <c s="574"/>
      <c s="1503"/>
      <c s="217"/>
      <c s="344"/>
      <c s="337"/>
      <c s="1627"/>
      <c s="1627"/>
      <c r="AH295" s="1634">
        <v>0</v>
      </c>
    </row>
    <row r="296" spans="1:34" s="1638" customFormat="1" ht="0.75" customHeight="1" hidden="1">
      <c r="A296" s="1783"/>
      <c s="1783"/>
      <c s="372" t="s">
        <v>1154</v>
      </c>
      <c s="2465"/>
      <c s="2207"/>
      <c s="2386"/>
      <c s="403"/>
      <c s="1503"/>
      <c s="654"/>
      <c s="574"/>
      <c s="1503"/>
      <c s="217"/>
      <c s="344"/>
      <c s="337"/>
      <c s="1627"/>
      <c s="1627"/>
      <c r="AH296" s="1634">
        <v>0</v>
      </c>
    </row>
    <row r="297" spans="1:34" s="1638" customFormat="1" ht="18.75" customHeight="1" hidden="1">
      <c r="A297" s="1783" t="s">
        <v>225</v>
      </c>
      <c s="1783" t="s">
        <v>226</v>
      </c>
      <c s="372"/>
      <c s="2465"/>
      <c s="2207"/>
      <c s="2386" t="str">
        <f>INDEX(PT_DIFFERENTIATION_VTAR,MATCH(A297,PT_DIFFERENTIATION_VTAR_ID,0))</f>
        <v>Тариф на питьевую воду (питьевое водоснабжение)</v>
      </c>
      <c s="2430" t="str">
        <f>INDEX(PT_DIFFERENTIATION_NTAR,MATCH(B297,PT_DIFFERENTIATION_NTAR_ID,0))</f>
        <v/>
      </c>
      <c s="1865"/>
      <c s="1742"/>
      <c s="1776"/>
      <c s="1781"/>
      <c s="1865" t="s">
        <v>306</v>
      </c>
      <c s="344"/>
      <c s="337"/>
      <c s="1627"/>
      <c s="1627"/>
      <c r="AH297" s="1634">
        <v>0</v>
      </c>
    </row>
    <row r="298" spans="1:34" s="1638" customFormat="1" ht="18.75" customHeight="1" hidden="1">
      <c r="A298" s="1783"/>
      <c s="1783"/>
      <c s="372" t="s">
        <v>1147</v>
      </c>
      <c s="2465"/>
      <c s="2207"/>
      <c s="2386"/>
      <c s="2430"/>
      <c s="1503"/>
      <c s="654" t="s">
        <v>1146</v>
      </c>
      <c s="574"/>
      <c s="1503"/>
      <c s="217"/>
      <c s="344"/>
      <c s="337"/>
      <c s="1627"/>
      <c s="1627"/>
      <c r="AH298" s="1634">
        <v>0</v>
      </c>
    </row>
    <row r="299" spans="1:34" s="1638" customFormat="1" ht="0.75" customHeight="1" hidden="1">
      <c r="A299" s="1783"/>
      <c s="1783"/>
      <c s="372" t="s">
        <v>1154</v>
      </c>
      <c s="2465"/>
      <c s="2207"/>
      <c s="2386"/>
      <c s="403"/>
      <c s="1503"/>
      <c s="654"/>
      <c s="574"/>
      <c s="1503"/>
      <c s="217"/>
      <c s="344"/>
      <c s="337"/>
      <c s="1627"/>
      <c s="1627"/>
      <c r="AH299" s="1634">
        <v>0</v>
      </c>
    </row>
    <row r="300" spans="1:34" s="1638" customFormat="1" ht="18.75" customHeight="1" hidden="1">
      <c r="A300" s="1783" t="s">
        <v>230</v>
      </c>
      <c s="1783" t="s">
        <v>231</v>
      </c>
      <c s="372"/>
      <c s="2465"/>
      <c s="2207"/>
      <c s="2386" t="str">
        <f>INDEX(PT_DIFFERENTIATION_VTAR,MATCH(A300,PT_DIFFERENTIATION_VTAR_ID,0))</f>
        <v>Тариф на техническую воду</v>
      </c>
      <c s="2430" t="str">
        <f>INDEX(PT_DIFFERENTIATION_NTAR,MATCH(B300,PT_DIFFERENTIATION_NTAR_ID,0))</f>
        <v/>
      </c>
      <c s="1865"/>
      <c s="1742"/>
      <c s="1776"/>
      <c s="1781"/>
      <c s="1865" t="s">
        <v>306</v>
      </c>
      <c s="344"/>
      <c s="337"/>
      <c s="1627"/>
      <c s="1627"/>
      <c r="AH300" s="1634">
        <v>0</v>
      </c>
    </row>
    <row r="301" spans="1:34" s="1638" customFormat="1" ht="18.75" customHeight="1" hidden="1">
      <c r="A301" s="1783"/>
      <c s="1783"/>
      <c s="372" t="s">
        <v>1147</v>
      </c>
      <c s="2465"/>
      <c s="2207"/>
      <c s="2386"/>
      <c s="2430"/>
      <c s="1503"/>
      <c s="654" t="s">
        <v>1146</v>
      </c>
      <c s="574"/>
      <c s="1503"/>
      <c s="217"/>
      <c s="344"/>
      <c s="337"/>
      <c s="1627"/>
      <c s="1627"/>
      <c r="AH301" s="1634">
        <v>0</v>
      </c>
    </row>
    <row r="302" spans="1:34" s="1638" customFormat="1" ht="0.75" customHeight="1" hidden="1">
      <c r="A302" s="1783"/>
      <c s="1783"/>
      <c s="372" t="s">
        <v>1154</v>
      </c>
      <c s="2465"/>
      <c s="2207"/>
      <c s="2386"/>
      <c s="403"/>
      <c s="1503"/>
      <c s="654"/>
      <c s="574"/>
      <c s="1503"/>
      <c s="217"/>
      <c s="344"/>
      <c s="337"/>
      <c s="1627"/>
      <c s="1627"/>
      <c r="AH302" s="1634">
        <v>0</v>
      </c>
    </row>
    <row r="303" spans="1:34" s="1638" customFormat="1" ht="18.75" customHeight="1" hidden="1">
      <c r="A303" s="1783" t="s">
        <v>235</v>
      </c>
      <c s="1783" t="s">
        <v>236</v>
      </c>
      <c s="372"/>
      <c s="2465"/>
      <c s="2207"/>
      <c s="2386" t="str">
        <f>INDEX(PT_DIFFERENTIATION_VTAR,MATCH(A303,PT_DIFFERENTIATION_VTAR_ID,0))</f>
        <v>Тариф на транспортировку воды</v>
      </c>
      <c s="2430" t="str">
        <f>INDEX(PT_DIFFERENTIATION_NTAR,MATCH(B303,PT_DIFFERENTIATION_NTAR_ID,0))</f>
        <v/>
      </c>
      <c s="1865"/>
      <c s="1742"/>
      <c s="1776"/>
      <c s="1781"/>
      <c s="1865" t="s">
        <v>306</v>
      </c>
      <c s="344"/>
      <c s="337"/>
      <c s="1627"/>
      <c s="1627"/>
      <c r="AH303" s="1634">
        <v>0</v>
      </c>
    </row>
    <row r="304" spans="1:34" s="1638" customFormat="1" ht="18.75" customHeight="1" hidden="1">
      <c r="A304" s="1783"/>
      <c s="1783"/>
      <c s="372" t="s">
        <v>1147</v>
      </c>
      <c s="2465"/>
      <c s="2207"/>
      <c s="2386"/>
      <c s="2430"/>
      <c s="1503"/>
      <c s="654" t="s">
        <v>1146</v>
      </c>
      <c s="574"/>
      <c s="1503"/>
      <c s="217"/>
      <c s="344"/>
      <c s="337"/>
      <c s="1627"/>
      <c s="1627"/>
      <c r="AH304" s="1634">
        <v>0</v>
      </c>
    </row>
    <row r="305" spans="1:34" s="1638" customFormat="1" ht="0.75" customHeight="1" hidden="1">
      <c r="A305" s="1783"/>
      <c s="1783"/>
      <c s="372" t="s">
        <v>1154</v>
      </c>
      <c s="2465"/>
      <c s="2207"/>
      <c s="2386"/>
      <c s="403"/>
      <c s="1503"/>
      <c s="654"/>
      <c s="574"/>
      <c s="1503"/>
      <c s="217"/>
      <c s="344"/>
      <c s="337"/>
      <c s="1627"/>
      <c s="1627"/>
      <c r="AH305" s="1634">
        <v>0</v>
      </c>
    </row>
    <row r="306" spans="1:34" s="1638" customFormat="1" ht="18.75" customHeight="1" hidden="1">
      <c r="A306" s="1783" t="s">
        <v>240</v>
      </c>
      <c s="1783" t="s">
        <v>241</v>
      </c>
      <c s="372"/>
      <c s="2465"/>
      <c s="2207"/>
      <c s="2386" t="str">
        <f>INDEX(PT_DIFFERENTIATION_VTAR,MATCH(A306,PT_DIFFERENTIATION_VTAR_ID,0))</f>
        <v>Тариф на подвоз воды</v>
      </c>
      <c s="2430" t="str">
        <f>INDEX(PT_DIFFERENTIATION_NTAR,MATCH(B306,PT_DIFFERENTIATION_NTAR_ID,0))</f>
        <v/>
      </c>
      <c s="1865"/>
      <c s="1742"/>
      <c s="1776"/>
      <c s="1781"/>
      <c s="1865" t="s">
        <v>306</v>
      </c>
      <c s="344"/>
      <c s="337"/>
      <c s="1627"/>
      <c s="1627"/>
      <c r="AH306" s="1634">
        <v>0</v>
      </c>
    </row>
    <row r="307" spans="1:34" s="1638" customFormat="1" ht="18.75" customHeight="1" hidden="1">
      <c r="A307" s="1783"/>
      <c s="1783"/>
      <c s="372" t="s">
        <v>1147</v>
      </c>
      <c s="2465"/>
      <c s="2207"/>
      <c s="2386"/>
      <c s="2430"/>
      <c s="1503"/>
      <c s="654" t="s">
        <v>1146</v>
      </c>
      <c s="574"/>
      <c s="1503"/>
      <c s="217"/>
      <c s="344"/>
      <c s="337"/>
      <c s="1627"/>
      <c s="1627"/>
      <c r="AH307" s="1634">
        <v>0</v>
      </c>
    </row>
    <row r="308" spans="1:34" s="1638" customFormat="1" ht="0.75" customHeight="1" hidden="1">
      <c r="A308" s="1783"/>
      <c s="1783"/>
      <c s="372" t="s">
        <v>1154</v>
      </c>
      <c s="2465"/>
      <c s="2207"/>
      <c s="2386"/>
      <c s="403"/>
      <c s="1503"/>
      <c s="654"/>
      <c s="574"/>
      <c s="1503"/>
      <c s="217"/>
      <c s="344"/>
      <c s="337"/>
      <c s="1627"/>
      <c s="1627"/>
      <c r="AH308" s="1634">
        <v>0</v>
      </c>
    </row>
    <row r="309" spans="1:34" s="1638" customFormat="1" ht="18.75" customHeight="1" hidden="1">
      <c r="A309" s="1783" t="s">
        <v>245</v>
      </c>
      <c s="1783" t="s">
        <v>246</v>
      </c>
      <c s="372"/>
      <c s="2465"/>
      <c s="2207"/>
      <c s="2386" t="str">
        <f>INDEX(PT_DIFFERENTIATION_VTAR,MATCH(A309,PT_DIFFERENTIATION_VTAR_ID,0))</f>
        <v>Тариф на подключение (технологическое присоединение) к централизованной системе холодного водоснабжения</v>
      </c>
      <c s="2430" t="str">
        <f>INDEX(PT_DIFFERENTIATION_NTAR,MATCH(B309,PT_DIFFERENTIATION_NTAR_ID,0))</f>
        <v/>
      </c>
      <c s="1865"/>
      <c s="1742"/>
      <c s="1776"/>
      <c s="1781"/>
      <c s="1865" t="s">
        <v>306</v>
      </c>
      <c s="344"/>
      <c s="337"/>
      <c s="1627"/>
      <c s="1627"/>
      <c r="AH309" s="1634">
        <v>0</v>
      </c>
    </row>
    <row r="310" spans="1:34" s="1638" customFormat="1" ht="18.75" customHeight="1" hidden="1">
      <c r="A310" s="1783"/>
      <c s="1783"/>
      <c s="372" t="s">
        <v>1147</v>
      </c>
      <c s="2465"/>
      <c s="2207"/>
      <c s="2386"/>
      <c s="2430"/>
      <c s="1503"/>
      <c s="654" t="s">
        <v>1146</v>
      </c>
      <c s="574"/>
      <c s="1503"/>
      <c s="217"/>
      <c s="344"/>
      <c s="337"/>
      <c s="1627"/>
      <c s="1627"/>
      <c r="AH310" s="1634">
        <v>0</v>
      </c>
    </row>
    <row r="311" spans="1:34" s="1638" customFormat="1" ht="0.75" customHeight="1" hidden="1">
      <c r="A311" s="1783"/>
      <c s="1783"/>
      <c s="372" t="s">
        <v>1154</v>
      </c>
      <c s="2465"/>
      <c s="2207"/>
      <c s="2386"/>
      <c s="403"/>
      <c s="1503"/>
      <c s="654"/>
      <c s="574"/>
      <c s="1503"/>
      <c s="217"/>
      <c s="344"/>
      <c s="337"/>
      <c s="1627"/>
      <c s="1627"/>
      <c r="AH311" s="1634">
        <v>0</v>
      </c>
    </row>
    <row r="312" spans="1:34" s="1638" customFormat="1" ht="18.75" customHeight="1" hidden="1">
      <c r="A312" s="1783" t="s">
        <v>250</v>
      </c>
      <c s="1783" t="s">
        <v>251</v>
      </c>
      <c s="372"/>
      <c s="2465"/>
      <c s="2207"/>
      <c s="2386" t="str">
        <f>INDEX(PT_DIFFERENTIATION_VTAR,MATCH(A312,PT_DIFFERENTIATION_VTAR_ID,0))</f>
        <v>Тариф на горячую воду (горячее водоснабжение)</v>
      </c>
      <c s="2430" t="str">
        <f>INDEX(PT_DIFFERENTIATION_NTAR,MATCH(B312,PT_DIFFERENTIATION_NTAR_ID,0))</f>
        <v/>
      </c>
      <c s="1865"/>
      <c s="1742"/>
      <c s="1776"/>
      <c s="1781"/>
      <c s="1865" t="s">
        <v>306</v>
      </c>
      <c s="344"/>
      <c s="337"/>
      <c s="1627"/>
      <c s="1627"/>
      <c r="AH312" s="1634">
        <v>0</v>
      </c>
    </row>
    <row r="313" spans="1:34" s="1638" customFormat="1" ht="18.75" customHeight="1" hidden="1">
      <c r="A313" s="1783"/>
      <c s="1783"/>
      <c s="372" t="s">
        <v>1147</v>
      </c>
      <c s="2465"/>
      <c s="2207"/>
      <c s="2386"/>
      <c s="2430"/>
      <c s="1503"/>
      <c s="654" t="s">
        <v>1146</v>
      </c>
      <c s="574"/>
      <c s="1503"/>
      <c s="217"/>
      <c s="344"/>
      <c s="337"/>
      <c s="1627"/>
      <c s="1627"/>
      <c r="AH313" s="1634">
        <v>0</v>
      </c>
    </row>
    <row r="314" spans="1:34" s="1638" customFormat="1" ht="0.75" customHeight="1" hidden="1">
      <c r="A314" s="1783"/>
      <c s="1783"/>
      <c s="372" t="s">
        <v>1154</v>
      </c>
      <c s="2465"/>
      <c s="2207"/>
      <c s="2386"/>
      <c s="403"/>
      <c s="1503"/>
      <c s="654"/>
      <c s="574"/>
      <c s="1503"/>
      <c s="217"/>
      <c s="344"/>
      <c s="337"/>
      <c s="1627"/>
      <c s="1627"/>
      <c r="AH314" s="1634">
        <v>0</v>
      </c>
    </row>
    <row r="315" spans="1:34" s="1638" customFormat="1" ht="18.75" customHeight="1" hidden="1">
      <c r="A315" s="1783" t="s">
        <v>255</v>
      </c>
      <c s="1783" t="s">
        <v>256</v>
      </c>
      <c s="372"/>
      <c s="2465"/>
      <c s="2207"/>
      <c s="2386" t="str">
        <f>INDEX(PT_DIFFERENTIATION_VTAR,MATCH(A315,PT_DIFFERENTIATION_VTAR_ID,0))</f>
        <v>Тариф на транспортировку горячей воды</v>
      </c>
      <c s="2430" t="str">
        <f>INDEX(PT_DIFFERENTIATION_NTAR,MATCH(B315,PT_DIFFERENTIATION_NTAR_ID,0))</f>
        <v/>
      </c>
      <c s="1865"/>
      <c s="1742"/>
      <c s="1776"/>
      <c s="1781"/>
      <c s="1865" t="s">
        <v>306</v>
      </c>
      <c s="344"/>
      <c s="337"/>
      <c s="1627"/>
      <c s="1627"/>
      <c r="AH315" s="1634">
        <v>0</v>
      </c>
    </row>
    <row r="316" spans="1:34" s="1638" customFormat="1" ht="18.75" customHeight="1" hidden="1">
      <c r="A316" s="1783"/>
      <c s="1783"/>
      <c s="372" t="s">
        <v>1147</v>
      </c>
      <c s="2465"/>
      <c s="2207"/>
      <c s="2386"/>
      <c s="2430"/>
      <c s="1503"/>
      <c s="654" t="s">
        <v>1146</v>
      </c>
      <c s="574"/>
      <c s="1503"/>
      <c s="217"/>
      <c s="344"/>
      <c s="337"/>
      <c s="1627"/>
      <c s="1627"/>
      <c r="AH316" s="1634">
        <v>0</v>
      </c>
    </row>
    <row r="317" spans="1:34" s="1638" customFormat="1" ht="0.75" customHeight="1" hidden="1">
      <c r="A317" s="1783"/>
      <c s="1783"/>
      <c s="372" t="s">
        <v>1154</v>
      </c>
      <c s="2465"/>
      <c s="2207"/>
      <c s="2386"/>
      <c s="403"/>
      <c s="1503"/>
      <c s="654"/>
      <c s="574"/>
      <c s="1503"/>
      <c s="217"/>
      <c s="344"/>
      <c s="337"/>
      <c s="1627"/>
      <c s="1627"/>
      <c r="AH317" s="1634">
        <v>0</v>
      </c>
    </row>
    <row r="318" spans="1:34" s="1638" customFormat="1" ht="18.75" customHeight="1" hidden="1">
      <c r="A318" s="1783" t="s">
        <v>260</v>
      </c>
      <c s="1783" t="s">
        <v>261</v>
      </c>
      <c s="372"/>
      <c s="2465"/>
      <c s="2207"/>
      <c s="2386" t="str">
        <f>INDEX(PT_DIFFERENTIATION_VTAR,MATCH(A318,PT_DIFFERENTIATION_VTAR_ID,0))</f>
        <v>Тариф на подключение (технологическое присоединение) к централизованной системе горячего водоснабжения</v>
      </c>
      <c s="2430" t="str">
        <f>INDEX(PT_DIFFERENTIATION_NTAR,MATCH(B318,PT_DIFFERENTIATION_NTAR_ID,0))</f>
        <v/>
      </c>
      <c s="1865"/>
      <c s="1742"/>
      <c s="1776"/>
      <c s="1781"/>
      <c s="1865" t="s">
        <v>306</v>
      </c>
      <c s="344"/>
      <c s="337"/>
      <c s="1627"/>
      <c s="1627"/>
      <c r="AH318" s="1634">
        <v>0</v>
      </c>
    </row>
    <row r="319" spans="1:34" s="1638" customFormat="1" ht="18.75" customHeight="1" hidden="1">
      <c r="A319" s="1783"/>
      <c s="1783"/>
      <c s="372" t="s">
        <v>1147</v>
      </c>
      <c s="2465"/>
      <c s="2207"/>
      <c s="2386"/>
      <c s="2430"/>
      <c s="1503"/>
      <c s="654" t="s">
        <v>1146</v>
      </c>
      <c s="574"/>
      <c s="1503"/>
      <c s="217"/>
      <c s="344"/>
      <c s="337"/>
      <c s="1627"/>
      <c s="1627"/>
      <c r="AH319" s="1634">
        <v>0</v>
      </c>
    </row>
    <row r="320" spans="1:34" s="1638" customFormat="1" ht="0.75" customHeight="1" hidden="1">
      <c r="A320" s="1783"/>
      <c s="1783"/>
      <c s="372" t="s">
        <v>1154</v>
      </c>
      <c s="2465"/>
      <c s="2207"/>
      <c s="2386"/>
      <c s="403"/>
      <c s="1503"/>
      <c s="654"/>
      <c s="574"/>
      <c s="1503"/>
      <c s="217"/>
      <c s="344"/>
      <c s="337"/>
      <c s="1627"/>
      <c s="1627"/>
      <c r="AH320" s="1634">
        <v>0</v>
      </c>
    </row>
    <row r="321" spans="1:34" s="1638" customFormat="1" ht="18.75" customHeight="1" hidden="1">
      <c r="A321" s="1783" t="s">
        <v>265</v>
      </c>
      <c s="1783" t="s">
        <v>266</v>
      </c>
      <c s="372"/>
      <c s="2465"/>
      <c s="2207"/>
      <c s="2386" t="str">
        <f>INDEX(PT_DIFFERENTIATION_VTAR,MATCH(A321,PT_DIFFERENTIATION_VTAR_ID,0))</f>
        <v>Тариф на водоотведение</v>
      </c>
      <c s="2430" t="str">
        <f>INDEX(PT_DIFFERENTIATION_NTAR,MATCH(B321,PT_DIFFERENTIATION_NTAR_ID,0))</f>
        <v/>
      </c>
      <c s="1865"/>
      <c s="1742"/>
      <c s="1776"/>
      <c s="1781"/>
      <c s="1865" t="s">
        <v>306</v>
      </c>
      <c s="344"/>
      <c s="337"/>
      <c s="1627"/>
      <c s="1627"/>
      <c r="AH321" s="1634">
        <v>0</v>
      </c>
    </row>
    <row r="322" spans="1:34" s="1638" customFormat="1" ht="18.75" customHeight="1" hidden="1">
      <c r="A322" s="1783"/>
      <c s="1783"/>
      <c s="372" t="s">
        <v>1147</v>
      </c>
      <c s="2465"/>
      <c s="2207"/>
      <c s="2386"/>
      <c s="2430"/>
      <c s="1503"/>
      <c s="654" t="s">
        <v>1146</v>
      </c>
      <c s="574"/>
      <c s="1503"/>
      <c s="217"/>
      <c s="344"/>
      <c s="337"/>
      <c s="1627"/>
      <c s="1627"/>
      <c r="AH322" s="1634">
        <v>0</v>
      </c>
    </row>
    <row r="323" spans="1:34" s="1638" customFormat="1" ht="0.75" customHeight="1" hidden="1">
      <c r="A323" s="1783"/>
      <c s="1783"/>
      <c s="372" t="s">
        <v>1154</v>
      </c>
      <c s="2465"/>
      <c s="2207"/>
      <c s="2386"/>
      <c s="403"/>
      <c s="1503"/>
      <c s="654"/>
      <c s="574"/>
      <c s="1503"/>
      <c s="217"/>
      <c s="344"/>
      <c s="337"/>
      <c s="1627"/>
      <c s="1627"/>
      <c r="AH323" s="1634">
        <v>0</v>
      </c>
    </row>
    <row r="324" spans="1:34" s="1638" customFormat="1" ht="18.75" customHeight="1" hidden="1">
      <c r="A324" s="1783" t="s">
        <v>270</v>
      </c>
      <c s="1783" t="s">
        <v>271</v>
      </c>
      <c s="372"/>
      <c s="2465"/>
      <c s="2207"/>
      <c s="2386" t="str">
        <f>INDEX(PT_DIFFERENTIATION_VTAR,MATCH(A324,PT_DIFFERENTIATION_VTAR_ID,0))</f>
        <v>Тариф на транспортировку сточных вод</v>
      </c>
      <c s="2430" t="str">
        <f>INDEX(PT_DIFFERENTIATION_NTAR,MATCH(B324,PT_DIFFERENTIATION_NTAR_ID,0))</f>
        <v/>
      </c>
      <c s="1865"/>
      <c s="1742"/>
      <c s="1776"/>
      <c s="1781"/>
      <c s="1865" t="s">
        <v>306</v>
      </c>
      <c s="344"/>
      <c s="337"/>
      <c s="1627"/>
      <c s="1627"/>
      <c r="AH324" s="1634">
        <v>0</v>
      </c>
    </row>
    <row r="325" spans="1:34" s="1638" customFormat="1" ht="18.75" customHeight="1" hidden="1">
      <c r="A325" s="1783"/>
      <c s="1783"/>
      <c s="372" t="s">
        <v>1147</v>
      </c>
      <c s="2465"/>
      <c s="2207"/>
      <c s="2386"/>
      <c s="2430"/>
      <c s="1503"/>
      <c s="654" t="s">
        <v>1146</v>
      </c>
      <c s="574"/>
      <c s="1503"/>
      <c s="217"/>
      <c s="344"/>
      <c s="337"/>
      <c s="1627"/>
      <c s="1627"/>
      <c r="AH325" s="1634">
        <v>0</v>
      </c>
    </row>
    <row r="326" spans="1:34" s="1638" customFormat="1" ht="0.75" customHeight="1" hidden="1">
      <c r="A326" s="1783"/>
      <c s="1783"/>
      <c s="372" t="s">
        <v>1154</v>
      </c>
      <c s="2465"/>
      <c s="2207"/>
      <c s="2386"/>
      <c s="403"/>
      <c s="1503"/>
      <c s="654"/>
      <c s="574"/>
      <c s="1503"/>
      <c s="217"/>
      <c s="344"/>
      <c s="337"/>
      <c s="1627"/>
      <c s="1627"/>
      <c r="AH326" s="1634">
        <v>0</v>
      </c>
    </row>
    <row r="327" spans="1:34" s="1638" customFormat="1" ht="18.75" customHeight="1" hidden="1">
      <c r="A327" s="1783" t="s">
        <v>275</v>
      </c>
      <c s="1783" t="s">
        <v>276</v>
      </c>
      <c s="372"/>
      <c s="2465"/>
      <c s="2207"/>
      <c s="2386" t="str">
        <f>INDEX(PT_DIFFERENTIATION_VTAR,MATCH(A327,PT_DIFFERENTIATION_VTAR_ID,0))</f>
        <v>Тариф на подключение (технологическое присоединение) к централизованной системе водоотведения</v>
      </c>
      <c s="2430" t="str">
        <f>INDEX(PT_DIFFERENTIATION_NTAR,MATCH(B327,PT_DIFFERENTIATION_NTAR_ID,0))</f>
        <v/>
      </c>
      <c s="1865"/>
      <c s="1742"/>
      <c s="1776"/>
      <c s="1781"/>
      <c s="1865" t="s">
        <v>306</v>
      </c>
      <c s="344"/>
      <c s="337"/>
      <c s="1627"/>
      <c s="1627"/>
      <c r="AH327" s="1634">
        <v>0</v>
      </c>
    </row>
    <row r="328" spans="1:34" s="1638" customFormat="1" ht="18.75" customHeight="1" hidden="1">
      <c r="A328" s="1783"/>
      <c s="1783"/>
      <c s="372" t="s">
        <v>1147</v>
      </c>
      <c s="2465"/>
      <c s="2207"/>
      <c s="2386"/>
      <c s="2430"/>
      <c s="1503"/>
      <c s="654" t="s">
        <v>1146</v>
      </c>
      <c s="574"/>
      <c s="1503"/>
      <c s="217"/>
      <c s="344"/>
      <c s="337"/>
      <c s="1627"/>
      <c s="1627"/>
      <c r="AH328" s="1634">
        <v>0</v>
      </c>
    </row>
    <row r="329" spans="1:34" s="1638" customFormat="1" ht="1.05" customHeight="1">
      <c r="A329" s="1783"/>
      <c s="1783"/>
      <c s="372" t="s">
        <v>1154</v>
      </c>
      <c s="2465"/>
      <c s="2207"/>
      <c s="2386"/>
      <c s="403"/>
      <c s="1503"/>
      <c s="654"/>
      <c s="574"/>
      <c s="1503"/>
      <c s="217"/>
      <c s="344"/>
      <c s="337"/>
      <c s="1627"/>
      <c s="1627"/>
      <c r="AH329" s="1634">
        <v>1</v>
      </c>
    </row>
    <row r="330" spans="1:34" s="1826" customFormat="1" ht="3" customHeight="1">
      <c r="A330" s="1783"/>
      <c s="1783"/>
      <c s="1784"/>
      <c r="E330" s="405"/>
      <c s="405"/>
      <c s="405"/>
      <c s="405"/>
      <c s="405"/>
      <c s="405"/>
      <c s="405"/>
      <c s="405"/>
      <c s="405"/>
      <c r="O330" s="199"/>
      <c s="199"/>
      <c r="AH330" s="143">
        <v>3</v>
      </c>
    </row>
    <row r="331" spans="5:34" ht="26.25" customHeight="1">
      <c r="E331" s="205"/>
      <c s="2288"/>
      <c s="2288"/>
      <c s="2288"/>
      <c s="2288"/>
      <c s="2288"/>
      <c s="2288"/>
      <c s="2288"/>
      <c s="2288"/>
      <c r="AH331" s="377">
        <v>25</v>
      </c>
    </row>
    <row r="332" spans="1:34" ht="14.25" customHeight="1" hidden="1">
      <c r="A332" s="1782" t="s">
        <v>81</v>
      </c>
      <c s="1782">
        <v>0</v>
      </c>
      <c s="372">
        <v>0</v>
      </c>
      <c s="347">
        <v>3</v>
      </c>
      <c s="377">
        <v>6</v>
      </c>
      <c s="377">
        <v>46</v>
      </c>
      <c s="377">
        <v>35</v>
      </c>
      <c s="377">
        <v>3</v>
      </c>
      <c s="377">
        <v>11</v>
      </c>
      <c s="377">
        <v>11</v>
      </c>
      <c s="377">
        <v>35</v>
      </c>
      <c s="377">
        <v>35</v>
      </c>
      <c s="377">
        <v>84</v>
      </c>
      <c s="377">
        <v>10</v>
      </c>
      <c s="353">
        <v>10</v>
      </c>
      <c s="353">
        <v>10</v>
      </c>
      <c s="377">
        <v>10</v>
      </c>
      <c s="377">
        <v>10</v>
      </c>
      <c s="377">
        <v>10</v>
      </c>
      <c s="377">
        <v>10</v>
      </c>
      <c s="377">
        <v>10</v>
      </c>
      <c s="377">
        <v>10</v>
      </c>
      <c s="377">
        <v>10</v>
      </c>
      <c s="377">
        <v>10</v>
      </c>
      <c s="377">
        <v>10</v>
      </c>
      <c s="377">
        <v>10</v>
      </c>
      <c s="377">
        <v>10</v>
      </c>
      <c s="377">
        <v>10</v>
      </c>
      <c s="377">
        <v>10</v>
      </c>
      <c s="377">
        <v>10</v>
      </c>
      <c s="377">
        <v>10</v>
      </c>
      <c s="377">
        <v>10</v>
      </c>
      <c s="377">
        <v>10</v>
      </c>
      <c s="377">
        <v>14</v>
      </c>
    </row>
  </sheetData>
  <sheetProtection formatColumns="0" formatRows="0" insertRows="0" deleteColumns="0" deleteRows="0" sort="0" autoFilter="0"/>
  <mergeCells count="428">
    <mergeCell ref="G48:G49"/>
    <mergeCell ref="D111:D113"/>
    <mergeCell ref="E111:E113"/>
    <mergeCell ref="F111:F113"/>
    <mergeCell ref="G111:G112"/>
    <mergeCell ref="D172:D174"/>
    <mergeCell ref="E172:E174"/>
    <mergeCell ref="F172:F174"/>
    <mergeCell ref="G172:G173"/>
    <mergeCell ref="D69:D71"/>
    <mergeCell ref="E69:E71"/>
    <mergeCell ref="F69:F71"/>
    <mergeCell ref="D90:D92"/>
    <mergeCell ref="E90:E92"/>
    <mergeCell ref="D72:D74"/>
    <mergeCell ref="E72:E74"/>
    <mergeCell ref="F72:F74"/>
    <mergeCell ref="G157:G158"/>
    <mergeCell ref="G160:G161"/>
    <mergeCell ref="E48:E50"/>
    <mergeCell ref="F48:F50"/>
    <mergeCell ref="G96:G97"/>
    <mergeCell ref="G99:G100"/>
    <mergeCell ref="D75:D77"/>
    <mergeCell ref="F39:F41"/>
    <mergeCell ref="G2:G3"/>
    <mergeCell ref="G5:G6"/>
    <mergeCell ref="E14:L14"/>
    <mergeCell ref="G16:L16"/>
    <mergeCell ref="G17:L17"/>
    <mergeCell ref="E19:L19"/>
    <mergeCell ref="D24:D26"/>
    <mergeCell ref="M19:M21"/>
    <mergeCell ref="E20:E21"/>
    <mergeCell ref="F20:F21"/>
    <mergeCell ref="G20:G21"/>
    <mergeCell ref="H20:J20"/>
    <mergeCell ref="K20:K21"/>
    <mergeCell ref="L20:L21"/>
    <mergeCell ref="H21:I21"/>
    <mergeCell ref="H22:I22"/>
    <mergeCell ref="F23:L23"/>
    <mergeCell ref="G24:G25"/>
    <mergeCell ref="F24:F26"/>
    <mergeCell ref="E24:E26"/>
    <mergeCell ref="F306:F308"/>
    <mergeCell ref="G303:G304"/>
    <mergeCell ref="D42:D44"/>
    <mergeCell ref="E42:E44"/>
    <mergeCell ref="F42:F44"/>
    <mergeCell ref="D27:D29"/>
    <mergeCell ref="E27:E29"/>
    <mergeCell ref="F27:F29"/>
    <mergeCell ref="D30:D32"/>
    <mergeCell ref="E30:E32"/>
    <mergeCell ref="F30:F32"/>
    <mergeCell ref="D33:D35"/>
    <mergeCell ref="E33:E35"/>
    <mergeCell ref="F33:F35"/>
    <mergeCell ref="G27:G28"/>
    <mergeCell ref="G30:G31"/>
    <mergeCell ref="G33:G34"/>
    <mergeCell ref="G36:G37"/>
    <mergeCell ref="G39:G40"/>
    <mergeCell ref="D36:D38"/>
    <mergeCell ref="E36:E38"/>
    <mergeCell ref="F36:F38"/>
    <mergeCell ref="D39:D41"/>
    <mergeCell ref="E39:E41"/>
    <mergeCell ref="F331:M331"/>
    <mergeCell ref="F269:L269"/>
    <mergeCell ref="D270:D272"/>
    <mergeCell ref="E270:E272"/>
    <mergeCell ref="F270:F272"/>
    <mergeCell ref="D273:D275"/>
    <mergeCell ref="E273:E275"/>
    <mergeCell ref="F273:F275"/>
    <mergeCell ref="D276:D278"/>
    <mergeCell ref="D282:D284"/>
    <mergeCell ref="E282:E284"/>
    <mergeCell ref="F282:F284"/>
    <mergeCell ref="D285:D287"/>
    <mergeCell ref="E285:E287"/>
    <mergeCell ref="F285:F287"/>
    <mergeCell ref="E276:E278"/>
    <mergeCell ref="F276:F278"/>
    <mergeCell ref="D279:D281"/>
    <mergeCell ref="E279:E281"/>
    <mergeCell ref="F303:F305"/>
    <mergeCell ref="D306:D308"/>
    <mergeCell ref="E306:E308"/>
    <mergeCell ref="D327:D329"/>
    <mergeCell ref="E327:E329"/>
    <mergeCell ref="G45:G46"/>
    <mergeCell ref="G51:G52"/>
    <mergeCell ref="G54:G55"/>
    <mergeCell ref="G57:G58"/>
    <mergeCell ref="M209:M212"/>
    <mergeCell ref="M87:M90"/>
    <mergeCell ref="F147:L147"/>
    <mergeCell ref="M148:M151"/>
    <mergeCell ref="F208:L208"/>
    <mergeCell ref="F51:F53"/>
    <mergeCell ref="F54:F56"/>
    <mergeCell ref="F75:F77"/>
    <mergeCell ref="F78:F80"/>
    <mergeCell ref="F90:F92"/>
    <mergeCell ref="F93:F95"/>
    <mergeCell ref="M24:M83"/>
    <mergeCell ref="G42:G43"/>
    <mergeCell ref="G129:G130"/>
    <mergeCell ref="G132:G133"/>
    <mergeCell ref="G135:G136"/>
    <mergeCell ref="G138:G139"/>
    <mergeCell ref="G154:G155"/>
    <mergeCell ref="G90:G91"/>
    <mergeCell ref="G93:G94"/>
    <mergeCell ref="D45:D47"/>
    <mergeCell ref="E45:E47"/>
    <mergeCell ref="F45:F47"/>
    <mergeCell ref="D63:D65"/>
    <mergeCell ref="E63:E65"/>
    <mergeCell ref="F63:F65"/>
    <mergeCell ref="D66:D68"/>
    <mergeCell ref="E66:E68"/>
    <mergeCell ref="F66:F68"/>
    <mergeCell ref="D57:D59"/>
    <mergeCell ref="E57:E59"/>
    <mergeCell ref="F57:F59"/>
    <mergeCell ref="D60:D62"/>
    <mergeCell ref="E60:E62"/>
    <mergeCell ref="F60:F62"/>
    <mergeCell ref="D51:D53"/>
    <mergeCell ref="E51:E53"/>
    <mergeCell ref="D54:D56"/>
    <mergeCell ref="E54:E56"/>
    <mergeCell ref="D48:D50"/>
    <mergeCell ref="E75:E77"/>
    <mergeCell ref="D78:D80"/>
    <mergeCell ref="E78:E80"/>
    <mergeCell ref="D93:D95"/>
    <mergeCell ref="E93:E95"/>
    <mergeCell ref="D108:D110"/>
    <mergeCell ref="E108:E110"/>
    <mergeCell ref="F108:F110"/>
    <mergeCell ref="F96:F98"/>
    <mergeCell ref="D99:D101"/>
    <mergeCell ref="E99:E101"/>
    <mergeCell ref="F99:F101"/>
    <mergeCell ref="D81:D83"/>
    <mergeCell ref="E81:E83"/>
    <mergeCell ref="F81:F83"/>
    <mergeCell ref="D87:D89"/>
    <mergeCell ref="E87:E89"/>
    <mergeCell ref="F87:F89"/>
    <mergeCell ref="D96:D98"/>
    <mergeCell ref="E96:E98"/>
    <mergeCell ref="F84:L84"/>
    <mergeCell ref="H85:I85"/>
    <mergeCell ref="F86:L86"/>
    <mergeCell ref="G102:G103"/>
    <mergeCell ref="D114:D116"/>
    <mergeCell ref="E114:E116"/>
    <mergeCell ref="F114:F116"/>
    <mergeCell ref="D102:D104"/>
    <mergeCell ref="E102:E104"/>
    <mergeCell ref="F102:F104"/>
    <mergeCell ref="D105:D107"/>
    <mergeCell ref="E105:E107"/>
    <mergeCell ref="F105:F107"/>
    <mergeCell ref="D117:D119"/>
    <mergeCell ref="E117:E119"/>
    <mergeCell ref="F117:F119"/>
    <mergeCell ref="D120:D122"/>
    <mergeCell ref="E120:E122"/>
    <mergeCell ref="F120:F122"/>
    <mergeCell ref="G120:G121"/>
    <mergeCell ref="G123:G124"/>
    <mergeCell ref="G126:G127"/>
    <mergeCell ref="D123:D125"/>
    <mergeCell ref="E123:E125"/>
    <mergeCell ref="F123:F125"/>
    <mergeCell ref="D126:D128"/>
    <mergeCell ref="E126:E128"/>
    <mergeCell ref="F126:F128"/>
    <mergeCell ref="D135:D137"/>
    <mergeCell ref="E135:E137"/>
    <mergeCell ref="F135:F137"/>
    <mergeCell ref="D138:D140"/>
    <mergeCell ref="E138:E140"/>
    <mergeCell ref="F138:F140"/>
    <mergeCell ref="D129:D131"/>
    <mergeCell ref="E129:E131"/>
    <mergeCell ref="F129:F131"/>
    <mergeCell ref="D132:D134"/>
    <mergeCell ref="E132:E134"/>
    <mergeCell ref="F132:F134"/>
    <mergeCell ref="G141:G142"/>
    <mergeCell ref="G144:G145"/>
    <mergeCell ref="G148:G149"/>
    <mergeCell ref="G151:G152"/>
    <mergeCell ref="D160:D162"/>
    <mergeCell ref="E160:E162"/>
    <mergeCell ref="F160:F162"/>
    <mergeCell ref="D163:D165"/>
    <mergeCell ref="E163:E165"/>
    <mergeCell ref="F163:F165"/>
    <mergeCell ref="D154:D156"/>
    <mergeCell ref="D151:D153"/>
    <mergeCell ref="E151:E153"/>
    <mergeCell ref="F151:F153"/>
    <mergeCell ref="D141:D143"/>
    <mergeCell ref="E141:E143"/>
    <mergeCell ref="F141:F143"/>
    <mergeCell ref="D144:D146"/>
    <mergeCell ref="E144:E146"/>
    <mergeCell ref="F144:F146"/>
    <mergeCell ref="D148:D150"/>
    <mergeCell ref="E148:E150"/>
    <mergeCell ref="F148:F150"/>
    <mergeCell ref="E154:E156"/>
    <mergeCell ref="F154:F156"/>
    <mergeCell ref="D157:D159"/>
    <mergeCell ref="E157:E159"/>
    <mergeCell ref="F157:F159"/>
    <mergeCell ref="D166:D168"/>
    <mergeCell ref="E166:E168"/>
    <mergeCell ref="F166:F168"/>
    <mergeCell ref="D169:D171"/>
    <mergeCell ref="E169:E171"/>
    <mergeCell ref="F169:F171"/>
    <mergeCell ref="D190:D192"/>
    <mergeCell ref="E190:E192"/>
    <mergeCell ref="F190:F192"/>
    <mergeCell ref="D181:D183"/>
    <mergeCell ref="E181:E183"/>
    <mergeCell ref="F181:F183"/>
    <mergeCell ref="D184:D186"/>
    <mergeCell ref="E184:E186"/>
    <mergeCell ref="F184:F186"/>
    <mergeCell ref="D175:D177"/>
    <mergeCell ref="E175:E177"/>
    <mergeCell ref="F175:F177"/>
    <mergeCell ref="D178:D180"/>
    <mergeCell ref="E178:E180"/>
    <mergeCell ref="F178:F180"/>
    <mergeCell ref="G178:G179"/>
    <mergeCell ref="D187:D189"/>
    <mergeCell ref="E187:E189"/>
    <mergeCell ref="F187:F189"/>
    <mergeCell ref="D193:D195"/>
    <mergeCell ref="E193:E195"/>
    <mergeCell ref="F193:F195"/>
    <mergeCell ref="D196:D198"/>
    <mergeCell ref="E196:E198"/>
    <mergeCell ref="F196:F198"/>
    <mergeCell ref="G193:G194"/>
    <mergeCell ref="G196:G197"/>
    <mergeCell ref="D215:D217"/>
    <mergeCell ref="E215:E217"/>
    <mergeCell ref="F215:F217"/>
    <mergeCell ref="D205:D207"/>
    <mergeCell ref="E205:E207"/>
    <mergeCell ref="F205:F207"/>
    <mergeCell ref="D209:D211"/>
    <mergeCell ref="E209:E211"/>
    <mergeCell ref="F209:F211"/>
    <mergeCell ref="D199:D201"/>
    <mergeCell ref="E199:E201"/>
    <mergeCell ref="F199:F201"/>
    <mergeCell ref="D202:D204"/>
    <mergeCell ref="E202:E204"/>
    <mergeCell ref="F202:F204"/>
    <mergeCell ref="G202:G203"/>
    <mergeCell ref="D224:D226"/>
    <mergeCell ref="E224:E226"/>
    <mergeCell ref="F224:F226"/>
    <mergeCell ref="D227:D229"/>
    <mergeCell ref="E227:E229"/>
    <mergeCell ref="F227:F229"/>
    <mergeCell ref="G227:G228"/>
    <mergeCell ref="D212:D214"/>
    <mergeCell ref="E212:E214"/>
    <mergeCell ref="F212:F214"/>
    <mergeCell ref="D218:D220"/>
    <mergeCell ref="E218:E220"/>
    <mergeCell ref="F218:F220"/>
    <mergeCell ref="D221:D223"/>
    <mergeCell ref="E221:E223"/>
    <mergeCell ref="F221:F223"/>
    <mergeCell ref="D239:D241"/>
    <mergeCell ref="E239:E241"/>
    <mergeCell ref="F239:F241"/>
    <mergeCell ref="G233:G234"/>
    <mergeCell ref="D245:D247"/>
    <mergeCell ref="E245:E247"/>
    <mergeCell ref="F245:F247"/>
    <mergeCell ref="D242:D244"/>
    <mergeCell ref="E242:E244"/>
    <mergeCell ref="F242:F244"/>
    <mergeCell ref="D230:D232"/>
    <mergeCell ref="E230:E232"/>
    <mergeCell ref="F230:F232"/>
    <mergeCell ref="D236:D238"/>
    <mergeCell ref="E236:E238"/>
    <mergeCell ref="F236:F238"/>
    <mergeCell ref="D233:D235"/>
    <mergeCell ref="E233:E235"/>
    <mergeCell ref="F233:F235"/>
    <mergeCell ref="D248:D250"/>
    <mergeCell ref="E248:E250"/>
    <mergeCell ref="F248:F250"/>
    <mergeCell ref="G245:G246"/>
    <mergeCell ref="G248:G249"/>
    <mergeCell ref="G251:G252"/>
    <mergeCell ref="D266:D268"/>
    <mergeCell ref="E266:E268"/>
    <mergeCell ref="F266:F268"/>
    <mergeCell ref="D257:D259"/>
    <mergeCell ref="E257:E259"/>
    <mergeCell ref="F257:F259"/>
    <mergeCell ref="D260:D262"/>
    <mergeCell ref="E260:E262"/>
    <mergeCell ref="F260:F262"/>
    <mergeCell ref="D251:D253"/>
    <mergeCell ref="E251:E253"/>
    <mergeCell ref="F251:F253"/>
    <mergeCell ref="D254:D256"/>
    <mergeCell ref="E254:E256"/>
    <mergeCell ref="F254:F256"/>
    <mergeCell ref="G254:G255"/>
    <mergeCell ref="D263:D265"/>
    <mergeCell ref="E263:E265"/>
    <mergeCell ref="F263:F265"/>
    <mergeCell ref="F279:F281"/>
    <mergeCell ref="D297:D299"/>
    <mergeCell ref="E297:E299"/>
    <mergeCell ref="F297:F299"/>
    <mergeCell ref="D300:D302"/>
    <mergeCell ref="E300:E302"/>
    <mergeCell ref="F300:F302"/>
    <mergeCell ref="D288:D290"/>
    <mergeCell ref="E288:E290"/>
    <mergeCell ref="F288:F290"/>
    <mergeCell ref="D291:D293"/>
    <mergeCell ref="E291:E293"/>
    <mergeCell ref="F291:F293"/>
    <mergeCell ref="D294:D296"/>
    <mergeCell ref="E294:E296"/>
    <mergeCell ref="F294:F296"/>
    <mergeCell ref="F327:F329"/>
    <mergeCell ref="M270:M273"/>
    <mergeCell ref="D321:D323"/>
    <mergeCell ref="E321:E323"/>
    <mergeCell ref="F321:F323"/>
    <mergeCell ref="D324:D326"/>
    <mergeCell ref="E324:E326"/>
    <mergeCell ref="F324:F326"/>
    <mergeCell ref="D315:D317"/>
    <mergeCell ref="E315:E317"/>
    <mergeCell ref="F315:F317"/>
    <mergeCell ref="D318:D320"/>
    <mergeCell ref="E318:E320"/>
    <mergeCell ref="F318:F320"/>
    <mergeCell ref="D309:D311"/>
    <mergeCell ref="E309:E311"/>
    <mergeCell ref="F309:F311"/>
    <mergeCell ref="D312:D314"/>
    <mergeCell ref="E312:E314"/>
    <mergeCell ref="F312:F314"/>
    <mergeCell ref="D303:D305"/>
    <mergeCell ref="E303:E305"/>
    <mergeCell ref="G327:G328"/>
    <mergeCell ref="G273:G274"/>
    <mergeCell ref="G60:G61"/>
    <mergeCell ref="G63:G64"/>
    <mergeCell ref="G66:G67"/>
    <mergeCell ref="G69:G70"/>
    <mergeCell ref="G72:G73"/>
    <mergeCell ref="G75:G76"/>
    <mergeCell ref="G78:G79"/>
    <mergeCell ref="G81:G82"/>
    <mergeCell ref="G87:G88"/>
    <mergeCell ref="G315:G316"/>
    <mergeCell ref="G318:G319"/>
    <mergeCell ref="G321:G322"/>
    <mergeCell ref="G324:G325"/>
    <mergeCell ref="G306:G307"/>
    <mergeCell ref="G309:G310"/>
    <mergeCell ref="G312:G313"/>
    <mergeCell ref="G300:G301"/>
    <mergeCell ref="G257:G258"/>
    <mergeCell ref="G260:G261"/>
    <mergeCell ref="G263:G264"/>
    <mergeCell ref="G266:G267"/>
    <mergeCell ref="G270:G271"/>
    <mergeCell ref="G276:G277"/>
    <mergeCell ref="G279:G280"/>
    <mergeCell ref="G282:G283"/>
    <mergeCell ref="G285:G286"/>
    <mergeCell ref="G288:G289"/>
    <mergeCell ref="G291:G292"/>
    <mergeCell ref="G297:G298"/>
    <mergeCell ref="G294:G295"/>
    <mergeCell ref="G105:G106"/>
    <mergeCell ref="G108:G109"/>
    <mergeCell ref="G114:G115"/>
    <mergeCell ref="G117:G118"/>
    <mergeCell ref="G230:G231"/>
    <mergeCell ref="G236:G237"/>
    <mergeCell ref="G239:G240"/>
    <mergeCell ref="G242:G243"/>
    <mergeCell ref="G199:G200"/>
    <mergeCell ref="G205:G206"/>
    <mergeCell ref="G209:G210"/>
    <mergeCell ref="G212:G213"/>
    <mergeCell ref="G215:G216"/>
    <mergeCell ref="G166:G167"/>
    <mergeCell ref="G169:G170"/>
    <mergeCell ref="G175:G176"/>
    <mergeCell ref="G218:G219"/>
    <mergeCell ref="G221:G222"/>
    <mergeCell ref="G224:G225"/>
    <mergeCell ref="G181:G182"/>
    <mergeCell ref="G184:G185"/>
    <mergeCell ref="G187:G188"/>
    <mergeCell ref="G190:G191"/>
    <mergeCell ref="G163:G164"/>
  </mergeCells>
  <dataValidations count="4">
    <dataValidation type="decimal" allowBlank="1" showErrorMessage="1" errorTitle="Ошибка" error="Допускается ввод только действительных чисел!" sqref="K5 K209 K212 K215 K218 K221 K224 K227 K230 K236 K239 K242 K245 K248 K251 K254 K257 K260 K263 K10 K87 K141 K138 K135 K132 K129 K126 K123 K120 K117 K114 K108 K105 K102 K99 K96 K93 K90 K148 K144 K151 K154 K157 K160 K163 K166 K169 K175 K178 K181 K184 K187 K193 K196 K199 K202 K205 K190 K266 K270 K273 K276 K279 K282 K285 K288 K291 K297 K300 K303 K306 K309 K312 K315 K318 K321 K324 K327 K111 K172 K233 K294">
      <formula1>-0999999999999999000000000</formula1>
      <formula2>9.99999999999999E+23</formula2>
    </dataValidation>
    <dataValidation type="textLength" operator="lessThanOrEqual" allowBlank="1" showInputMessage="1" showErrorMessage="1" errorTitle="Ошибка" error="Допускается ввод не более 900 символов!" sqref="M23 M148:M149 M209:M210 M87:M88 M270:M271">
      <formula1>900</formula1>
    </dataValidation>
    <dataValidation type="textLength" operator="lessThanOrEqual" allowBlank="1" showInputMessage="1" showErrorMessage="1" prompt="Введите ссылку на обосновывающие материалы, загруженные с помощью &quot;ЕИАС Web&quot;." errorTitle="Ошибка" error="Допускается ввод не более 900 символов!" sqref="L85">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2:J2 I10:J10 I39:J39 I24:J24 I27:J27 I30:J30 I33:J33 I36:J36 I42:J42 I45:J45 I51:J51 I54:J54 I57:J57 I60:J60 I63:J63 I66:J66 I69:J69 I72:J72 I75:J75 I78:J78 I209:J209 I212:J212 I215:J215 I218:J218 I221:J221 I224:J224 I227:J227 I230:J230 I236:J236 I239:J239 I242:J242 I245:J245 I248:J248 I251:J251 I254:J254 I257:J257 I260:J260 I8:J8 I81:J81 I144:J144 I90:J90 I93:J93 I96:J96 I99:J99 I102:J102 I105:J105 I108:J108 I114:J114 I117:J117 I120:J120 I123:J123 I126:J126 I129:J129 I132:J132 I135:J135 I138:J138 I141:J141 I148:J148 I87:J87 I151:J151 I154:J154 I157:J157 I160:J160 I163:J163 I166:J166 I169:J169 I175:J175 I178:J178 I181:J181 I184:J184 I187:J187 I193:J193 I196:J196 I199:J199 I202:J202 I205:J205 I190:J190 I263:J263 I266:J266 I270:J270 I273:J273 I276:J276 I279:J279 I282:J282 I285:J285 I288:J288 I291:J291 I297:J297 I300:J300 I303:J303 I306:J306 I309:J309 I312:J312 I315:J315 I318:J318 I321:J321 I324:J324 I327:J327 I5:J5 I48:J48 I111:J111 I172:J172 I233:J233 I294:J294"/>
  </dataValidations>
  <pageMargins left="0.7" right="0.7" top="0.75" bottom="0.75" header="0.3" footer="0.3"/>
  <pageSetup orientation="portrait" paperSize="9"/>
  <drawing r:id="rId1"/>
</worksheet>
</file>

<file path=xl/worksheets/sheet4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m="http://schemas.microsoft.com/office/excel/2006/main" xmlns:x14ac="http://schemas.microsoft.com/office/spreadsheetml/2009/9/ac" xmlns:xr="http://schemas.microsoft.com/office/spreadsheetml/2014/revision" xmlns:xr2="http://schemas.microsoft.com/office/spreadsheetml/2015/revision2" xmlns:xr3="http://schemas.microsoft.com/office/spreadsheetml/2016/revision3" xr:uid="{32E99CC8-E169-CBBA-393B-70F88847F548}" mc:Ignorable="x14ac xr xr2 xr3">
  <sheetPr>
    <tabColor theme="6" tint="0.400000005960464"/>
  </sheetPr>
  <dimension ref="A1:R17"/>
  <sheetViews>
    <sheetView showGridLines="0" zoomScale="90" zoomScaleNormal="90" workbookViewId="0" topLeftCell="A1">
      <pane xSplit="5" ySplit="9" topLeftCell="F10" activePane="bottomRight" state="frozen"/>
      <selection pane="topLeft" activeCell="A1" sqref="A1"/>
      <selection pane="bottomLeft" activeCell="A10" sqref="A10"/>
      <selection pane="topRight" activeCell="F1" sqref="F1"/>
      <selection pane="bottomRight" activeCell="A1" sqref="A1"/>
    </sheetView>
  </sheetViews>
  <sheetFormatPr defaultColWidth="10.5742857142857" defaultRowHeight="14.25" customHeight="1"/>
  <cols>
    <col min="1" max="1" width="9.14285714285714" style="2400" hidden="1" customWidth="1"/>
    <col min="2" max="2" width="9.14285714285714" style="1369" hidden="1" customWidth="1"/>
    <col min="3" max="3" width="3" style="347" customWidth="1"/>
    <col min="4" max="4" width="6" style="1638" customWidth="1"/>
    <col min="5" max="5" width="53" style="1638" customWidth="1"/>
    <col min="6" max="7" width="35" style="1638" customWidth="1"/>
    <col min="8" max="8" width="89" style="1638" customWidth="1"/>
    <col min="9" max="9" width="10" style="1638" customWidth="1"/>
    <col min="10" max="11" width="10" style="1627" customWidth="1"/>
    <col min="12" max="17" width="10" style="1638" customWidth="1"/>
    <col min="18" max="18" width="10.5714285714286" style="1638" hidden="1"/>
  </cols>
  <sheetData>
    <row r="1" spans="14:18" ht="22.5" customHeight="1" hidden="1">
      <c r="N1" s="258"/>
      <c s="258"/>
      <c r="Q1" s="258"/>
      <c s="377" t="s">
        <v>14</v>
      </c>
    </row>
    <row r="2" spans="1:18" s="1638" customFormat="1" ht="18.75" customHeight="1" hidden="1">
      <c r="A2" s="105"/>
      <c s="1163"/>
      <c s="1733" t="s">
        <v>689</v>
      </c>
      <c s="1676"/>
      <c s="1685"/>
      <c s="260"/>
      <c s="1164"/>
      <c s="377"/>
      <c s="1627"/>
      <c s="1627"/>
      <c r="R2" s="1634">
        <v>0</v>
      </c>
    </row>
    <row r="3" spans="18:18" ht="14.25" customHeight="1" hidden="1">
      <c r="R3" s="377">
        <v>0</v>
      </c>
    </row>
    <row r="4" spans="3:18" ht="6.3" customHeight="1">
      <c r="C4" s="379"/>
      <c s="366"/>
      <c s="366"/>
      <c s="366"/>
      <c s="88"/>
      <c s="88"/>
      <c r="R4" s="377">
        <v>6</v>
      </c>
    </row>
    <row r="5" spans="3:18" ht="34.5" customHeight="1">
      <c r="C5" s="379"/>
      <c s="2457" t="str">
        <f>PURCH_NAME_FORM</f>
        <v>Форма 11. Информация о способах приобретения, стоимости и об объемах товаров (работ, услуг), необходимых организации водоотведения для производства товаров (оказания услуг) в сфере водоотведения, тарифы на которые подлежат регулированию</v>
      </c>
      <c s="2458"/>
      <c s="2458"/>
      <c s="2459"/>
      <c s="269"/>
      <c r="R5" s="377">
        <v>33</v>
      </c>
    </row>
    <row r="6" spans="1:18" s="1638" customFormat="1" ht="18" customHeight="1">
      <c r="A6" s="1672"/>
      <c s="1163"/>
      <c s="379"/>
      <c s="2460" t="str">
        <f>IF(org=0,"Не определено",org)</f>
        <v>ГУП КК "Кубаньводкомплекс"</v>
      </c>
      <c s="2461"/>
      <c s="2461"/>
      <c s="2462"/>
      <c s="269"/>
      <c r="J6" s="1627"/>
      <c s="1627"/>
      <c r="R6" s="1634">
        <v>17</v>
      </c>
    </row>
    <row r="7" spans="3:18" ht="14.7" customHeight="1">
      <c r="C7" s="379"/>
      <c s="366"/>
      <c s="392"/>
      <c s="392"/>
      <c s="755"/>
      <c s="196"/>
      <c r="R7" s="377">
        <v>14</v>
      </c>
    </row>
    <row r="8" spans="3:18" ht="14.7" customHeight="1">
      <c r="C8" s="379"/>
      <c s="2212" t="s">
        <v>300</v>
      </c>
      <c s="2212"/>
      <c s="2212"/>
      <c s="2212"/>
      <c s="2392" t="s">
        <v>301</v>
      </c>
      <c r="R8" s="377">
        <v>14</v>
      </c>
    </row>
    <row r="9" spans="3:18" ht="24" customHeight="1">
      <c r="C9" s="379"/>
      <c s="389" t="s">
        <v>87</v>
      </c>
      <c s="111" t="s">
        <v>302</v>
      </c>
      <c s="111" t="s">
        <v>303</v>
      </c>
      <c s="111" t="s">
        <v>390</v>
      </c>
      <c s="2392"/>
      <c r="R9" s="377">
        <v>23</v>
      </c>
    </row>
    <row r="10" spans="1:18" ht="14.7" customHeight="1">
      <c r="A10" s="346"/>
      <c r="C10" s="379"/>
      <c s="150" t="s">
        <v>109</v>
      </c>
      <c s="1889" t="str">
        <f>"Сведения о правовых актах, регламентирующих правила закупки (положение о закупках) в "&amp;IF(TEMPLATE_SPHERE="TKO","организации",IF(TEMPLATE_SPHERE="HEAT","регулируемой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теплоснабжения","организации "&amp;TEMPLATE_SPHERE_RUS))</f>
        <v>Сведения о правовых актах, регламентирующих правила закупки (положение о закупках) в организации водоотведения</v>
      </c>
      <c s="260"/>
      <c s="216"/>
      <c s="2172" t="s">
        <v>1155</v>
      </c>
      <c r="R10" s="377">
        <v>14</v>
      </c>
    </row>
    <row r="11" spans="1:18" ht="14.7" customHeight="1">
      <c r="A11" s="346"/>
      <c r="C11" s="379"/>
      <c s="150" t="s">
        <v>110</v>
      </c>
      <c s="1889" t="str">
        <f>"Сведения о месте размещения "&amp;IF(TEMPLATE_SPHERE="TKO","положения о закупках в организации",IF(TEMPLATE_SPHERE="HEAT","положения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теплоснабжения","правовых актов, регламентирующих правила закупки (положение о закупках) в организации "&amp;TEMPLATE_SPHERE_RUS))</f>
        <v>Сведения о месте размещения правовых актов, регламентирующих правила закупки (положение о закупках) в организации водоотведения</v>
      </c>
      <c s="260"/>
      <c s="216"/>
      <c s="2173"/>
      <c r="R11" s="377">
        <v>14</v>
      </c>
    </row>
    <row r="12" spans="1:18" ht="14.7" customHeight="1">
      <c r="A12" s="105"/>
      <c r="C12" s="390"/>
      <c s="150" t="s">
        <v>89</v>
      </c>
      <c s="391" t="str">
        <f>"Сведения о планировании закупочных процедур"&amp;IF(TEMPLATE_SPHERE="TKO"," &lt;1&gt;","")</f>
        <v>Сведения о планировании закупочных процедур</v>
      </c>
      <c s="260"/>
      <c s="216"/>
      <c s="2173" t="str">
        <f>"В случае наличия дополнительных сведений о способах приобретения, стоимости и объемах товаров, необходимых для производства "&amp;IF(OR(TEMPLATE_SPHERE="HEAT",TEMPLATE_SPHERE="TKO"),"","регулируемых ")&amp;"товаров и (или) оказания "&amp;IF(OR(TEMPLATE_SPHERE="HEAT",TEMPLATE_SPHERE="TKO"),"услуг организацией","регулируемых услуг регулируемой организацией")&amp;", информация по ним указывается в отдельных строках."</f>
        <v>В случае наличия дополнительных сведений о способах приобретения, стоимости и объемах товаров, необходимых для производства регулируемых товаров и (или) оказания регулируемых услуг регулируемой организацией, информация по ним указывается в отдельных строках.</v>
      </c>
      <c s="353"/>
      <c r="K12" s="377"/>
      <c r="R12" s="377">
        <v>14</v>
      </c>
    </row>
    <row r="13" spans="1:18" ht="14.7" customHeight="1">
      <c r="A13" s="105"/>
      <c r="C13" s="390"/>
      <c s="150" t="s">
        <v>90</v>
      </c>
      <c s="391" t="str">
        <f>"Сведения о результатах проведения закупочных процедур"&amp;IF(TEMPLATE_SPHERE="TKO"," &lt;1&gt;","")</f>
        <v>Сведения о результатах проведения закупочных процедур</v>
      </c>
      <c s="260"/>
      <c s="216"/>
      <c s="2173"/>
      <c s="353"/>
      <c r="K13" s="377"/>
      <c r="R13" s="377">
        <v>14</v>
      </c>
    </row>
    <row r="14" spans="1:18" ht="14.7" customHeight="1">
      <c r="A14" s="346"/>
      <c r="C14" s="379"/>
      <c s="350"/>
      <c s="398" t="s">
        <v>322</v>
      </c>
      <c s="352"/>
      <c s="204"/>
      <c s="2174"/>
      <c r="R14" s="377">
        <v>14</v>
      </c>
    </row>
    <row r="15" spans="1:18" s="1638" customFormat="1" ht="14.7" customHeight="1">
      <c r="A15" s="346"/>
      <c s="1163"/>
      <c s="379"/>
      <c s="399"/>
      <c s="1680"/>
      <c s="1681"/>
      <c s="1682"/>
      <c s="1683"/>
      <c r="J15" s="1627"/>
      <c s="1627"/>
      <c r="R15" s="1634">
        <v>14</v>
      </c>
    </row>
    <row r="16" spans="4:18" ht="14.7" customHeight="1">
      <c r="D16" s="1684"/>
      <c s="2388"/>
      <c s="2388"/>
      <c s="2388"/>
      <c s="2388"/>
      <c r="R16" s="377">
        <v>14</v>
      </c>
    </row>
    <row r="17" spans="1:18" ht="22.5" customHeight="1" hidden="1">
      <c r="A17" s="367" t="s">
        <v>81</v>
      </c>
      <c s="149">
        <v>0</v>
      </c>
      <c s="347">
        <v>3</v>
      </c>
      <c s="377">
        <v>6</v>
      </c>
      <c s="377">
        <v>53</v>
      </c>
      <c s="377">
        <v>35</v>
      </c>
      <c s="377">
        <v>35</v>
      </c>
      <c s="377">
        <v>89</v>
      </c>
      <c s="377">
        <v>10</v>
      </c>
      <c s="353">
        <v>10</v>
      </c>
      <c s="353">
        <v>10</v>
      </c>
      <c s="377">
        <v>10</v>
      </c>
      <c s="377">
        <v>10</v>
      </c>
      <c s="377">
        <v>10</v>
      </c>
      <c s="377">
        <v>10</v>
      </c>
      <c s="377">
        <v>10</v>
      </c>
      <c s="377">
        <v>10</v>
      </c>
      <c s="377">
        <v>23</v>
      </c>
    </row>
  </sheetData>
  <sheetProtection formatColumns="0" formatRows="0" insertRows="0" deleteColumns="0" deleteRows="0" sort="0" autoFilter="0"/>
  <mergeCells count="7">
    <mergeCell ref="E16:H16"/>
    <mergeCell ref="H10:H11"/>
    <mergeCell ref="H12:H14"/>
    <mergeCell ref="D5:G5"/>
    <mergeCell ref="D8:G8"/>
    <mergeCell ref="H8:H9"/>
    <mergeCell ref="D6:G6"/>
  </mergeCells>
  <dataValidations count="2">
    <dataValidation type="textLength" operator="lessThanOrEqual" allowBlank="1" showInputMessage="1" showErrorMessage="1" errorTitle="Ошибка" error="Допускается ввод не более 900 символов!" sqref="E2:F2 H10 E13 F10:F13">
      <formula1>900</formula1>
    </dataValidation>
    <dataValidation type="textLength" operator="lessThanOrEqual" allowBlank="1" showInputMessage="1" showErrorMessage="1"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errorTitle="Ошибка" error="Допускается ввод не более 900 символов!" sqref="G2 G10:G13">
      <formula1>900</formula1>
    </dataValidation>
  </dataValidations>
  <pageMargins left="0.7" right="0.7" top="0.75" bottom="0.75" header="0.3" footer="0.3"/>
  <pageSetup orientation="portrait" paperSize="9"/>
  <drawing r:id="rId1"/>
</worksheet>
</file>

<file path=xl/worksheets/sheet5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m="http://schemas.microsoft.com/office/excel/2006/main" xmlns:x14ac="http://schemas.microsoft.com/office/spreadsheetml/2009/9/ac" xmlns:xr="http://schemas.microsoft.com/office/spreadsheetml/2014/revision" xmlns:xr2="http://schemas.microsoft.com/office/spreadsheetml/2015/revision2" xmlns:xr3="http://schemas.microsoft.com/office/spreadsheetml/2016/revision3" xr:uid="{C8A5F99E-C764-2FDD-70CD-46DD4D0CB55E}" mc:Ignorable="x14ac xr xr2 xr3">
  <sheetPr>
    <tabColor theme="2" tint="-0.0999799966812134"/>
  </sheetPr>
  <dimension ref="A1:V30"/>
  <sheetViews>
    <sheetView showGridLines="0" zoomScale="90" zoomScaleNormal="90" workbookViewId="0" topLeftCell="A1">
      <pane xSplit="8" ySplit="18" topLeftCell="I19" activePane="bottomRight" state="frozen"/>
      <selection pane="topLeft" activeCell="A1" sqref="A1"/>
      <selection pane="bottomLeft" activeCell="A19" sqref="A19"/>
      <selection pane="topRight" activeCell="I1" sqref="I1"/>
      <selection pane="bottomRight" activeCell="A1" sqref="A1"/>
    </sheetView>
  </sheetViews>
  <sheetFormatPr defaultColWidth="10.5742857142857" defaultRowHeight="15" customHeight="1"/>
  <cols>
    <col min="1" max="1" width="9.14285714285714" style="1635" hidden="1" customWidth="1"/>
    <col min="2" max="2" width="9.14285714285714" style="1638" hidden="1" customWidth="1"/>
    <col min="3" max="3" width="4" style="686" customWidth="1"/>
    <col min="4" max="4" width="6" style="1638" customWidth="1"/>
    <col min="5" max="5" width="47" style="1638" customWidth="1"/>
    <col min="6" max="6" width="9" style="1638" customWidth="1"/>
    <col min="7" max="7" width="25.7142857142857" style="1638" hidden="1" customWidth="1"/>
    <col min="8" max="8" width="34" style="1638" hidden="1" customWidth="1"/>
    <col min="9" max="9" width="25.7142857142857" style="1638" customWidth="1"/>
    <col min="10" max="10" width="33" style="1638" customWidth="1"/>
    <col min="11" max="11" width="50" style="1369" customWidth="1"/>
    <col min="12" max="20" width="10" style="1638" customWidth="1"/>
    <col min="21" max="21" width="10" style="678" customWidth="1"/>
    <col min="22" max="22" width="10.5714285714286" style="1638" hidden="1"/>
  </cols>
  <sheetData>
    <row r="1" spans="3:22" s="1369" customFormat="1" ht="22.5" customHeight="1" hidden="1">
      <c r="C1" s="675"/>
      <c r="G1" s="420">
        <v>4</v>
      </c>
      <c r="I1" s="420">
        <v>4</v>
      </c>
      <c r="U1" s="423"/>
      <c s="420" t="s">
        <v>14</v>
      </c>
    </row>
    <row r="2" spans="1:22" s="1638" customFormat="1" ht="15" customHeight="1" hidden="1">
      <c r="A2" s="365"/>
      <c r="C2" s="179"/>
      <c s="349"/>
      <c s="676"/>
      <c s="525"/>
      <c s="619"/>
      <c s="619"/>
      <c s="619"/>
      <c s="619"/>
      <c r="U2" s="677"/>
      <c s="512">
        <v>0</v>
      </c>
    </row>
    <row r="3" spans="3:22" s="1369" customFormat="1" ht="15" customHeight="1" hidden="1">
      <c r="C3" s="675"/>
      <c r="U3" s="423"/>
      <c s="420">
        <v>0</v>
      </c>
    </row>
    <row r="4" spans="3:22" ht="15.75" customHeight="1">
      <c r="C4" s="179"/>
      <c s="512"/>
      <c s="512"/>
      <c s="512"/>
      <c s="512"/>
      <c s="512"/>
      <c s="512"/>
      <c s="512"/>
      <c r="V4" s="508">
        <v>15</v>
      </c>
    </row>
    <row r="5" spans="3:22" ht="66" customHeight="1">
      <c r="C5" s="179"/>
      <c s="2240" t="s">
        <v>1156</v>
      </c>
      <c s="2240"/>
      <c s="2240"/>
      <c s="2240"/>
      <c s="2240"/>
      <c s="2240"/>
      <c s="2240"/>
      <c r="V5" s="508">
        <v>63</v>
      </c>
    </row>
    <row r="6" spans="3:22" ht="15.75" customHeight="1">
      <c r="C6" s="179"/>
      <c s="2179" t="str">
        <f>IF(org=0,"Не определено",org)</f>
        <v>ГУП КК "Кубаньводкомплекс"</v>
      </c>
      <c s="2179"/>
      <c s="2179"/>
      <c s="2179"/>
      <c s="2179"/>
      <c s="2179"/>
      <c s="2179"/>
      <c s="540"/>
      <c r="V6" s="508">
        <v>15</v>
      </c>
    </row>
    <row r="7" spans="3:22" ht="15.75" customHeight="1">
      <c r="C7" s="179"/>
      <c s="755"/>
      <c s="512"/>
      <c s="512"/>
      <c s="540">
        <v>22</v>
      </c>
      <c r="I7" s="540">
        <v>1</v>
      </c>
      <c s="755"/>
      <c r="V7" s="508">
        <v>15</v>
      </c>
    </row>
    <row r="8" spans="1:22" s="1638" customFormat="1" ht="1.05" customHeight="1">
      <c r="A8" s="762"/>
      <c r="C8" s="179"/>
      <c s="512"/>
      <c s="512"/>
      <c s="512"/>
      <c s="540"/>
      <c s="755"/>
      <c s="540" t="s">
        <v>118</v>
      </c>
      <c s="755"/>
      <c s="420"/>
      <c r="U8" s="678"/>
      <c s="761">
        <v>1</v>
      </c>
    </row>
    <row r="9" spans="3:22" ht="15.75" customHeight="1">
      <c r="C9" s="179"/>
      <c s="714"/>
      <c s="2370" t="s">
        <v>105</v>
      </c>
      <c s="2371"/>
      <c s="2398" t="str">
        <f>IF(G8="","",INDEX(DIFFERENTIATION_UNMERGE_VD,MATCH(G8,DIFFERENTIATION_ID_DIFF,0)))</f>
        <v/>
      </c>
      <c s="2399"/>
      <c s="2398" t="str">
        <f>IF(I8="","",INDEX(DIFFERENTIATION_UNMERGE_VD,MATCH(I8,DIFFERENTIATION_ID_DIFF,0)))</f>
        <v>Водоотведение; Транспортировка; Подключение (технологическое присоединение) к централизованной системе водоотведения</v>
      </c>
      <c s="2399"/>
      <c s="2178" t="s">
        <v>301</v>
      </c>
      <c r="V9" s="508">
        <v>15</v>
      </c>
    </row>
    <row r="10" spans="1:22" s="1638" customFormat="1" ht="15.75" customHeight="1">
      <c r="A10" s="762"/>
      <c r="C10" s="179"/>
      <c s="714"/>
      <c s="2370" t="s">
        <v>564</v>
      </c>
      <c s="2371"/>
      <c s="2398" t="str">
        <f>IF(G8="","",INDEX(DIFFERENTIATION_UNMERGE_AREA,MATCH(G8,DIFFERENTIATION_ID_DIFF,0)))</f>
        <v/>
      </c>
      <c s="2399"/>
      <c s="2398" t="str">
        <f>IF(I8="","",INDEX(DIFFERENTIATION_UNMERGE_AREA,MATCH(I8,DIFFERENTIATION_ID_DIFF,0)))</f>
        <v>Территория 1</v>
      </c>
      <c s="2399"/>
      <c s="2202"/>
      <c r="U10" s="678"/>
      <c s="761">
        <v>15</v>
      </c>
    </row>
    <row r="11" spans="1:22" s="1638" customFormat="1" ht="15.75" customHeight="1">
      <c r="A11" s="762"/>
      <c r="C11" s="179"/>
      <c s="714"/>
      <c s="2370" t="s">
        <v>565</v>
      </c>
      <c s="2371"/>
      <c s="2398" t="str">
        <f>IF(G8="","",INDEX(DIFFERENTIATION_UNMERGE_SYSTEM,MATCH(G8,DIFFERENTIATION_ID_DIFF,0)))</f>
        <v/>
      </c>
      <c s="2399"/>
      <c s="2398" t="str">
        <f>IF(I8="","",INDEX(DIFFERENTIATION_UNMERGE_SYSTEM,MATCH(I8,DIFFERENTIATION_ID_DIFF,0)))</f>
        <v>Ейский групповой водопровод (разводящие сети)</v>
      </c>
      <c s="2399"/>
      <c s="2202"/>
      <c r="U11" s="678"/>
      <c s="761">
        <v>15</v>
      </c>
    </row>
    <row r="12" spans="1:22" s="1638" customFormat="1" ht="15.75" customHeight="1">
      <c r="A12" s="762"/>
      <c r="C12" s="179"/>
      <c s="2372" t="s">
        <v>300</v>
      </c>
      <c s="2373"/>
      <c s="2373"/>
      <c s="890"/>
      <c s="890"/>
      <c s="890"/>
      <c s="890"/>
      <c s="2202"/>
      <c r="U12" s="678"/>
      <c s="761">
        <v>15</v>
      </c>
    </row>
    <row r="13" spans="3:22" ht="35.7" customHeight="1">
      <c r="C13" s="179"/>
      <c s="808" t="s">
        <v>87</v>
      </c>
      <c s="810" t="s">
        <v>302</v>
      </c>
      <c s="810" t="s">
        <v>566</v>
      </c>
      <c s="811" t="s">
        <v>303</v>
      </c>
      <c s="810" t="s">
        <v>390</v>
      </c>
      <c s="811" t="s">
        <v>303</v>
      </c>
      <c s="810" t="s">
        <v>390</v>
      </c>
      <c s="2235"/>
      <c r="V13" s="508">
        <v>34</v>
      </c>
    </row>
    <row r="14" spans="3:22" ht="15" customHeight="1" hidden="1">
      <c r="C14" s="179"/>
      <c s="596" t="s">
        <v>109</v>
      </c>
      <c s="596" t="s">
        <v>110</v>
      </c>
      <c s="596" t="s">
        <v>89</v>
      </c>
      <c s="662" t="str">
        <f>G1&amp;".1"</f>
        <v>4.1</v>
      </c>
      <c s="662"/>
      <c s="662" t="str">
        <f>I1&amp;".1"</f>
        <v>4.1</v>
      </c>
      <c s="662"/>
      <c s="292"/>
      <c r="V14" s="508">
        <v>0</v>
      </c>
    </row>
    <row r="15" spans="1:22" ht="22.5" customHeight="1" hidden="1">
      <c r="A15" s="508"/>
      <c r="C15" s="529"/>
      <c s="524">
        <v>1</v>
      </c>
      <c s="680" t="s">
        <v>809</v>
      </c>
      <c s="524" t="s">
        <v>810</v>
      </c>
      <c s="681"/>
      <c s="681"/>
      <c s="681"/>
      <c s="681"/>
      <c s="292" t="s">
        <v>811</v>
      </c>
      <c r="V15" s="508">
        <v>0</v>
      </c>
    </row>
    <row r="16" spans="1:22" ht="22.5" customHeight="1" hidden="1">
      <c r="A16" s="508"/>
      <c r="C16" s="529"/>
      <c s="524">
        <v>2</v>
      </c>
      <c s="282" t="s">
        <v>812</v>
      </c>
      <c s="524" t="s">
        <v>813</v>
      </c>
      <c s="681"/>
      <c s="681"/>
      <c s="681"/>
      <c s="681"/>
      <c s="292" t="s">
        <v>814</v>
      </c>
      <c r="V16" s="508">
        <v>0</v>
      </c>
    </row>
    <row r="17" spans="1:22" ht="123.75" customHeight="1" hidden="1">
      <c r="A17" s="508"/>
      <c r="C17" s="529"/>
      <c s="524">
        <v>3</v>
      </c>
      <c s="282" t="s">
        <v>1157</v>
      </c>
      <c s="524" t="s">
        <v>306</v>
      </c>
      <c s="681"/>
      <c s="681"/>
      <c s="681"/>
      <c s="681"/>
      <c s="292" t="s">
        <v>1158</v>
      </c>
      <c r="V17" s="508">
        <v>0</v>
      </c>
    </row>
    <row r="18" spans="1:22" ht="48.3" customHeight="1">
      <c r="A18" s="508"/>
      <c r="C18" s="529"/>
      <c s="524">
        <v>3</v>
      </c>
      <c s="282" t="s">
        <v>815</v>
      </c>
      <c s="524" t="s">
        <v>306</v>
      </c>
      <c s="812" t="s">
        <v>306</v>
      </c>
      <c s="813" t="s">
        <v>306</v>
      </c>
      <c s="524" t="s">
        <v>306</v>
      </c>
      <c s="581" t="s">
        <v>306</v>
      </c>
      <c s="292" t="s">
        <v>1159</v>
      </c>
      <c r="V18" s="508">
        <v>46</v>
      </c>
    </row>
    <row r="19" spans="1:22" ht="35.7" customHeight="1">
      <c r="A19" s="508"/>
      <c r="C19" s="529"/>
      <c s="542" t="s">
        <v>324</v>
      </c>
      <c s="562" t="s">
        <v>817</v>
      </c>
      <c s="524" t="s">
        <v>818</v>
      </c>
      <c s="820"/>
      <c s="109"/>
      <c s="820"/>
      <c s="821"/>
      <c s="682"/>
      <c r="V19" s="508">
        <v>34</v>
      </c>
    </row>
    <row r="20" spans="1:22" ht="35.7" customHeight="1">
      <c r="A20" s="508"/>
      <c r="C20" s="529"/>
      <c s="1893" t="s">
        <v>332</v>
      </c>
      <c s="562" t="s">
        <v>819</v>
      </c>
      <c s="524" t="s">
        <v>820</v>
      </c>
      <c s="820"/>
      <c s="109"/>
      <c s="820"/>
      <c s="109"/>
      <c s="682"/>
      <c r="V20" s="508">
        <v>34</v>
      </c>
    </row>
    <row r="21" spans="1:22" ht="48.3" customHeight="1">
      <c r="A21" s="508"/>
      <c r="C21" s="529"/>
      <c s="1893" t="s">
        <v>334</v>
      </c>
      <c s="562" t="s">
        <v>821</v>
      </c>
      <c s="524" t="s">
        <v>571</v>
      </c>
      <c s="683"/>
      <c s="109"/>
      <c s="683"/>
      <c s="109"/>
      <c s="682"/>
      <c r="V21" s="508">
        <v>46</v>
      </c>
    </row>
    <row r="22" spans="1:22" ht="67.5" customHeight="1" hidden="1">
      <c r="A22" s="508"/>
      <c r="C22" s="529"/>
      <c s="524">
        <v>5</v>
      </c>
      <c s="282" t="s">
        <v>1160</v>
      </c>
      <c s="524" t="s">
        <v>558</v>
      </c>
      <c s="684"/>
      <c s="685"/>
      <c s="684"/>
      <c s="685"/>
      <c s="292" t="s">
        <v>1161</v>
      </c>
      <c r="V22" s="508">
        <v>0</v>
      </c>
    </row>
    <row r="23" spans="3:22" ht="33.75" customHeight="1" hidden="1">
      <c r="C23" s="454"/>
      <c s="524">
        <v>6</v>
      </c>
      <c s="282" t="s">
        <v>1162</v>
      </c>
      <c s="524" t="s">
        <v>1163</v>
      </c>
      <c s="684"/>
      <c s="684"/>
      <c s="684"/>
      <c s="684"/>
      <c s="292" t="s">
        <v>1164</v>
      </c>
      <c r="V23" s="508">
        <v>0</v>
      </c>
    </row>
    <row r="24" spans="22:22" ht="15.75" customHeight="1">
      <c r="V24" s="508">
        <v>15</v>
      </c>
    </row>
    <row r="25" spans="22:22" ht="15.75" customHeight="1">
      <c r="V25" s="508">
        <v>15</v>
      </c>
    </row>
    <row r="26" spans="22:22" ht="15.75" customHeight="1">
      <c r="V26" s="508">
        <v>15</v>
      </c>
    </row>
    <row r="27" spans="22:22" ht="15.75" customHeight="1">
      <c r="V27" s="508">
        <v>15</v>
      </c>
    </row>
    <row r="28" spans="22:22" ht="15.75" customHeight="1">
      <c r="V28" s="508">
        <v>15</v>
      </c>
    </row>
    <row r="29" spans="10:22" ht="15.75" customHeight="1">
      <c r="J29" s="822"/>
      <c r="V29" s="508">
        <v>15</v>
      </c>
    </row>
    <row r="30" spans="1:22" ht="22.5" customHeight="1" hidden="1">
      <c r="A30" s="452" t="s">
        <v>81</v>
      </c>
      <c s="508">
        <v>0</v>
      </c>
      <c s="686">
        <v>4</v>
      </c>
      <c s="508">
        <v>6</v>
      </c>
      <c s="508">
        <v>47</v>
      </c>
      <c s="508">
        <v>9</v>
      </c>
      <c s="761">
        <v>0</v>
      </c>
      <c s="761">
        <v>0</v>
      </c>
      <c s="508">
        <v>25</v>
      </c>
      <c s="508">
        <v>33</v>
      </c>
      <c s="420">
        <v>50</v>
      </c>
      <c s="508">
        <v>10</v>
      </c>
      <c s="508">
        <v>10</v>
      </c>
      <c s="508">
        <v>10</v>
      </c>
      <c s="508">
        <v>10</v>
      </c>
      <c s="508">
        <v>10</v>
      </c>
      <c s="508">
        <v>10</v>
      </c>
      <c s="508">
        <v>10</v>
      </c>
      <c s="508">
        <v>10</v>
      </c>
      <c s="508">
        <v>10</v>
      </c>
      <c s="678">
        <v>10</v>
      </c>
      <c s="508">
        <v>23</v>
      </c>
    </row>
  </sheetData>
  <sheetProtection formatColumns="0" formatRows="0" insertRows="0" deleteColumns="0" deleteRows="0" sort="0" autoFilter="0"/>
  <mergeCells count="13">
    <mergeCell ref="D5:J5"/>
    <mergeCell ref="D6:J6"/>
    <mergeCell ref="K9:K13"/>
    <mergeCell ref="I9:J9"/>
    <mergeCell ref="E9:F9"/>
    <mergeCell ref="E10:F10"/>
    <mergeCell ref="E11:F11"/>
    <mergeCell ref="I10:J10"/>
    <mergeCell ref="I11:J11"/>
    <mergeCell ref="G9:H9"/>
    <mergeCell ref="G10:H10"/>
    <mergeCell ref="G11:H11"/>
    <mergeCell ref="D12:F12"/>
  </mergeCells>
  <dataValidations count="4">
    <dataValidation type="decimal" allowBlank="1" showErrorMessage="1" errorTitle="Ошибка" error="Допускается ввод только неотрицательных чисел!" sqref="G21 I21">
      <formula1>0</formula1>
      <formula2>9.99999999999999E+23</formula2>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3 E15"/>
    <dataValidation type="whole" allowBlank="1" showErrorMessage="1" errorTitle="Ошибка" error="Допускается ввод только неотрицательных целых чисел!" sqref="G19:G20 I19:I20">
      <formula1>0</formula1>
      <formula2>9.99999999999999E+23</formula2>
    </dataValidation>
    <dataValidation type="textLength" operator="lessThanOrEqual" allowBlank="1" showInputMessage="1" showErrorMessage="1" errorTitle="Ошибка" error="Допускается ввод не более 900 символов!" sqref="H19:H21 J19:J21">
      <formula1>900</formula1>
    </dataValidation>
  </dataValidations>
  <pageMargins left="0.7" right="0.7" top="0.75" bottom="0.75" header="0.3" footer="0.3"/>
  <pageSetup orientation="portrait" paperSize="9"/>
</worksheet>
</file>

<file path=xl/worksheets/sheet5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m="http://schemas.microsoft.com/office/excel/2006/main" xmlns:x14ac="http://schemas.microsoft.com/office/spreadsheetml/2009/9/ac" xmlns:xr="http://schemas.microsoft.com/office/spreadsheetml/2014/revision" xmlns:xr2="http://schemas.microsoft.com/office/spreadsheetml/2015/revision2" xmlns:xr3="http://schemas.microsoft.com/office/spreadsheetml/2016/revision3" xr:uid="{516A0305-97C2-C639-14B6-D947521D1116}" mc:Ignorable="x14ac xr xr2 xr3">
  <sheetPr>
    <tabColor rgb="FFFFCC99"/>
  </sheetPr>
  <dimension ref="A1:CD118"/>
  <sheetViews>
    <sheetView showGridLines="0" workbookViewId="0" topLeftCell="A1">
      <selection pane="topLeft" activeCell="A1" sqref="A1"/>
    </sheetView>
  </sheetViews>
  <sheetFormatPr defaultColWidth="9.14428571428571" defaultRowHeight="11.25" customHeight="1"/>
  <cols>
    <col min="1" max="1" width="32.5714285714286" style="1205" customWidth="1"/>
    <col min="2" max="2" width="11" style="1853" customWidth="1"/>
    <col min="3" max="3" width="9.14285714285714" style="1853"/>
    <col min="4" max="4" width="26.5714285714286" style="1853" customWidth="1"/>
    <col min="5" max="5" width="36.8571428571429" style="1826" customWidth="1"/>
    <col min="6" max="6" width="23.5714285714286" style="1826" customWidth="1"/>
    <col min="7" max="7" width="31.4285714285714" style="1826" customWidth="1"/>
    <col min="8" max="8" width="40.8571428571429" style="1826" customWidth="1"/>
    <col min="9" max="9" width="14.5714285714286" style="1826" customWidth="1"/>
    <col min="10" max="10" width="26.8571428571429" style="1826" customWidth="1"/>
    <col min="11" max="11" width="50" style="1826" customWidth="1"/>
    <col min="12" max="12" width="52.4285714285714" style="1826" customWidth="1"/>
    <col min="13" max="13" width="10.7142857142857" style="1826" customWidth="1"/>
    <col min="14" max="14" width="55.1428571428571" style="1826" customWidth="1"/>
    <col min="15" max="15" width="31.8571428571429" style="1826" customWidth="1"/>
    <col min="16" max="16" width="23.8571428571429" style="1826" customWidth="1"/>
    <col min="17" max="17" width="46.5714285714286" style="1826" customWidth="1"/>
    <col min="18" max="18" width="24" style="1826" customWidth="1"/>
    <col min="19" max="19" width="20.5714285714286" style="1826" customWidth="1"/>
    <col min="20" max="20" width="22" style="1826" customWidth="1"/>
    <col min="21" max="22" width="26.4285714285714" style="1826" customWidth="1"/>
    <col min="23" max="23" width="8.28571428571429" style="1826" hidden="1" customWidth="1"/>
    <col min="24" max="24" width="59.7142857142857" style="1826" customWidth="1"/>
    <col min="25" max="25" width="49.1428571428571" style="1826" customWidth="1"/>
    <col min="26" max="26" width="11.1428571428571" style="1826" customWidth="1"/>
    <col min="27" max="30" width="29" style="1826" customWidth="1"/>
    <col min="31" max="31" width="9.14285714285714" style="1826"/>
    <col min="32" max="32" width="34.7142857142857" style="1826" customWidth="1"/>
    <col min="33" max="33" width="9.14285714285714" style="1826"/>
    <col min="34" max="35" width="34.4285714285714" style="1826" customWidth="1"/>
    <col min="36" max="36" width="9.14285714285714" style="1826"/>
    <col min="37" max="37" width="24.5714285714286" style="1826" customWidth="1"/>
    <col min="38" max="38" width="9.14285714285714" style="1826"/>
    <col min="39" max="39" width="26.1428571428571" style="1826" customWidth="1"/>
    <col min="40" max="40" width="1.71428571428571" style="1826" customWidth="1"/>
    <col min="41" max="41" width="9.14285714285714" style="1826"/>
    <col min="42" max="43" width="47.8571428571429" style="1826" customWidth="1"/>
    <col min="44" max="44" width="1.71428571428571" style="1826" customWidth="1"/>
    <col min="45" max="45" width="21.4285714285714" style="1826" customWidth="1"/>
    <col min="46" max="46" width="1.71428571428571" style="1826" customWidth="1"/>
    <col min="47" max="47" width="31.2857142857143" style="1826" customWidth="1"/>
    <col min="48" max="48" width="1.71428571428571" style="1826" customWidth="1"/>
    <col min="49" max="50" width="9.14285714285714" style="1826"/>
    <col min="51" max="51" width="3.71428571428571" style="1826" customWidth="1"/>
    <col min="52" max="52" width="60.8571428571429" style="1826" customWidth="1"/>
    <col min="53" max="53" width="49.2857142857143" style="1826" customWidth="1"/>
    <col min="54" max="54" width="35.1428571428571" style="1826" customWidth="1"/>
    <col min="55" max="55" width="9.14285714285714" style="1826"/>
    <col min="56" max="56" width="1.71428571428571" style="1826" customWidth="1"/>
    <col min="57" max="57" width="12.5714285714286" style="1069" customWidth="1"/>
    <col min="58" max="58" width="14.2857142857143" style="1069" customWidth="1"/>
    <col min="59" max="59" width="30.7142857142857" style="1826" customWidth="1"/>
    <col min="60" max="60" width="40.7142857142857" style="1843" customWidth="1"/>
    <col min="61" max="61" width="15" style="1843" customWidth="1"/>
    <col min="62" max="62" width="40.7142857142857" style="1843" customWidth="1"/>
    <col min="63" max="63" width="2.71428571428571" style="1843" customWidth="1"/>
    <col min="64" max="64" width="44.7142857142857" style="1843" customWidth="1"/>
    <col min="65" max="65" width="2.71428571428571" style="1843" customWidth="1"/>
    <col min="66" max="66" width="40.7142857142857" style="1843" customWidth="1"/>
    <col min="67" max="68" width="9.14285714285714" style="1826"/>
    <col min="69" max="69" width="18.1428571428571" style="1826" customWidth="1"/>
    <col min="70" max="70" width="57.8571428571429" style="1826" customWidth="1"/>
    <col min="71" max="71" width="1.71428571428571" style="1826" customWidth="1"/>
    <col min="72" max="72" width="22.5714285714286" style="1826" customWidth="1"/>
    <col min="73" max="73" width="57.8571428571429" style="1826" customWidth="1"/>
    <col min="74" max="74" width="1.71428571428571" style="1826" customWidth="1"/>
    <col min="75" max="75" width="22.5714285714286" style="1826" customWidth="1"/>
    <col min="76" max="76" width="57.8571428571429" style="1826" customWidth="1"/>
    <col min="77" max="77" width="1.71428571428571" style="1826" customWidth="1"/>
    <col min="78" max="78" width="22.5714285714286" style="1826" customWidth="1"/>
    <col min="79" max="79" width="57.8571428571429" style="1826" customWidth="1"/>
    <col min="80" max="81" width="9.14285714285714" style="1826"/>
    <col min="82" max="82" width="49.5714285714286" style="1826" customWidth="1"/>
  </cols>
  <sheetData>
    <row r="1" spans="1:71" s="1430" customFormat="1" ht="11.25" customHeight="1">
      <c r="A1" s="1070" t="s">
        <v>1165</v>
      </c>
      <c s="1070" t="s">
        <v>1166</v>
      </c>
      <c s="1070" t="s">
        <v>1167</v>
      </c>
      <c s="1070" t="s">
        <v>1168</v>
      </c>
      <c s="1070" t="s">
        <v>1169</v>
      </c>
      <c s="1070" t="s">
        <v>1170</v>
      </c>
      <c s="1070" t="s">
        <v>1171</v>
      </c>
      <c s="1070" t="s">
        <v>1172</v>
      </c>
      <c s="1070" t="s">
        <v>1173</v>
      </c>
      <c s="1070" t="s">
        <v>1174</v>
      </c>
      <c s="1070" t="s">
        <v>1175</v>
      </c>
      <c s="1070" t="s">
        <v>1176</v>
      </c>
      <c s="1070"/>
      <c s="1070" t="s">
        <v>1177</v>
      </c>
      <c s="1070" t="s">
        <v>1178</v>
      </c>
      <c s="1070" t="s">
        <v>1179</v>
      </c>
      <c s="1070" t="s">
        <v>1180</v>
      </c>
      <c s="1070" t="s">
        <v>1181</v>
      </c>
      <c s="1070" t="s">
        <v>1182</v>
      </c>
      <c s="1070" t="s">
        <v>1183</v>
      </c>
      <c s="1070" t="s">
        <v>1184</v>
      </c>
      <c s="1070"/>
      <c s="800" t="s">
        <v>1185</v>
      </c>
      <c s="1070" t="s">
        <v>1186</v>
      </c>
      <c s="1070" t="s">
        <v>1187</v>
      </c>
      <c s="1070"/>
      <c s="1070" t="s">
        <v>1188</v>
      </c>
      <c s="1070"/>
      <c s="1070" t="s">
        <v>1189</v>
      </c>
      <c s="1070"/>
      <c r="AF1" s="1070" t="s">
        <v>1190</v>
      </c>
      <c r="AH1" s="1070" t="s">
        <v>1191</v>
      </c>
      <c s="1070" t="s">
        <v>1192</v>
      </c>
      <c r="AK1" s="1070" t="s">
        <v>1193</v>
      </c>
      <c r="AM1" s="1070" t="s">
        <v>1194</v>
      </c>
      <c r="AP1" s="1070" t="s">
        <v>1195</v>
      </c>
      <c s="1070" t="s">
        <v>1196</v>
      </c>
      <c r="AS1" s="1070" t="s">
        <v>1197</v>
      </c>
      <c r="AU1" s="1070" t="s">
        <v>1198</v>
      </c>
      <c r="AW1" s="1070" t="s">
        <v>1199</v>
      </c>
      <c s="1070" t="s">
        <v>1200</v>
      </c>
      <c r="AZ1" s="1155" t="s">
        <v>1201</v>
      </c>
      <c r="BB1" s="1070" t="s">
        <v>1202</v>
      </c>
      <c s="1070"/>
      <c r="BE1" s="1070" t="s">
        <v>1203</v>
      </c>
      <c s="1070" t="s">
        <v>1204</v>
      </c>
      <c r="BH1" s="1072" t="s">
        <v>808</v>
      </c>
      <c s="1073"/>
      <c s="1074" t="s">
        <v>1205</v>
      </c>
      <c s="1073"/>
      <c s="1075" t="s">
        <v>907</v>
      </c>
      <c s="1073"/>
      <c s="1076" t="s">
        <v>1206</v>
      </c>
      <c r="BS1" s="1430"/>
    </row>
    <row r="2" spans="1:58" ht="11.25" customHeight="1">
      <c r="A2" s="1077" t="s">
        <v>1207</v>
      </c>
      <c s="1078">
        <v>2000</v>
      </c>
      <c s="1078">
        <v>2022</v>
      </c>
      <c s="1078" t="s">
        <v>65</v>
      </c>
      <c s="1079" t="s">
        <v>1208</v>
      </c>
      <c s="1079" t="s">
        <v>1209</v>
      </c>
      <c s="1079" t="s">
        <v>1210</v>
      </c>
      <c s="1080" t="s">
        <v>54</v>
      </c>
      <c s="1079" t="s">
        <v>109</v>
      </c>
      <c s="1079" t="s">
        <v>1211</v>
      </c>
      <c s="1081" t="s">
        <v>1212</v>
      </c>
      <c s="1082"/>
      <c s="1081">
        <v>1</v>
      </c>
      <c s="1165" t="s">
        <v>1213</v>
      </c>
      <c s="1080" t="s">
        <v>1214</v>
      </c>
      <c s="1083" t="s">
        <v>38</v>
      </c>
      <c s="1084" t="s">
        <v>1215</v>
      </c>
      <c s="146" t="s">
        <v>1216</v>
      </c>
      <c s="146" t="s">
        <v>1217</v>
      </c>
      <c s="1085" t="s">
        <v>1218</v>
      </c>
      <c s="1082" t="s">
        <v>1219</v>
      </c>
      <c s="1086">
        <v>1</v>
      </c>
      <c s="1087"/>
      <c s="1087" t="s">
        <v>1220</v>
      </c>
      <c s="1078" t="s">
        <v>1221</v>
      </c>
      <c s="1088"/>
      <c s="1078" t="s">
        <v>1222</v>
      </c>
      <c s="1089" t="s">
        <v>1222</v>
      </c>
      <c s="1078" t="s">
        <v>1223</v>
      </c>
      <c s="1089" t="s">
        <v>1223</v>
      </c>
      <c r="AF2" s="1080" t="s">
        <v>1219</v>
      </c>
      <c r="AH2" s="1079" t="s">
        <v>1224</v>
      </c>
      <c s="1079" t="s">
        <v>1224</v>
      </c>
      <c r="AK2" s="1079" t="s">
        <v>1225</v>
      </c>
      <c r="AM2" s="1079" t="s">
        <v>1226</v>
      </c>
      <c r="AP2" s="1090" t="s">
        <v>1220</v>
      </c>
      <c s="1091" t="s">
        <v>1220</v>
      </c>
      <c r="AS2" s="1078" t="s">
        <v>1227</v>
      </c>
      <c r="AU2" s="1123" t="s">
        <v>1228</v>
      </c>
      <c r="AW2" s="1123" t="s">
        <v>1229</v>
      </c>
      <c s="1123" t="s">
        <v>1229</v>
      </c>
      <c r="AZ2" s="1123" t="s">
        <v>1230</v>
      </c>
      <c r="BB2" s="1123" t="s">
        <v>1231</v>
      </c>
      <c s="1123" t="s">
        <v>1232</v>
      </c>
      <c r="BE2" s="1123">
        <v>2000</v>
      </c>
      <c s="1123" t="s">
        <v>1233</v>
      </c>
    </row>
    <row r="3" spans="1:79" ht="11.25" customHeight="1">
      <c r="A3" s="1077" t="s">
        <v>1234</v>
      </c>
      <c s="1078">
        <v>2001</v>
      </c>
      <c s="1078">
        <v>2023</v>
      </c>
      <c s="1078" t="s">
        <v>19</v>
      </c>
      <c s="1079" t="s">
        <v>1235</v>
      </c>
      <c s="1079" t="s">
        <v>35</v>
      </c>
      <c s="1079" t="s">
        <v>1236</v>
      </c>
      <c s="1080" t="s">
        <v>1237</v>
      </c>
      <c s="1079" t="s">
        <v>110</v>
      </c>
      <c s="1079" t="s">
        <v>556</v>
      </c>
      <c s="1081" t="s">
        <v>1238</v>
      </c>
      <c s="1082">
        <f>IFERROR(MATCH(K3,OFFER_METHOD,0),0)</f>
        <v>0</v>
      </c>
      <c s="1081">
        <v>2</v>
      </c>
      <c s="1165" t="s">
        <v>1239</v>
      </c>
      <c s="1080" t="s">
        <v>1240</v>
      </c>
      <c s="1083" t="s">
        <v>1241</v>
      </c>
      <c s="1084" t="s">
        <v>1242</v>
      </c>
      <c s="146" t="s">
        <v>1243</v>
      </c>
      <c s="146" t="s">
        <v>1244</v>
      </c>
      <c s="1085" t="s">
        <v>1245</v>
      </c>
      <c s="1082" t="s">
        <v>1246</v>
      </c>
      <c s="1086">
        <v>2</v>
      </c>
      <c s="1087"/>
      <c s="1087" t="s">
        <v>1247</v>
      </c>
      <c s="1078" t="s">
        <v>1221</v>
      </c>
      <c s="1088"/>
      <c s="1078" t="s">
        <v>1248</v>
      </c>
      <c s="1089" t="s">
        <v>1248</v>
      </c>
      <c s="1078" t="s">
        <v>1249</v>
      </c>
      <c s="1089" t="s">
        <v>1249</v>
      </c>
      <c r="AF3" s="1080" t="s">
        <v>1246</v>
      </c>
      <c r="AH3" s="1079" t="s">
        <v>1250</v>
      </c>
      <c s="1079" t="s">
        <v>1251</v>
      </c>
      <c r="AK3" s="1079" t="s">
        <v>1252</v>
      </c>
      <c r="AM3" s="1079" t="s">
        <v>1253</v>
      </c>
      <c r="AP3" s="1090" t="s">
        <v>1254</v>
      </c>
      <c s="1091" t="s">
        <v>1254</v>
      </c>
      <c r="AS3" s="1078" t="s">
        <v>1255</v>
      </c>
      <c r="AU3" s="1123" t="s">
        <v>1256</v>
      </c>
      <c r="AW3" s="1123" t="s">
        <v>1257</v>
      </c>
      <c s="1123" t="s">
        <v>1257</v>
      </c>
      <c r="AZ3" s="1123" t="s">
        <v>1258</v>
      </c>
      <c r="BB3" s="1123" t="s">
        <v>1259</v>
      </c>
      <c s="1123" t="s">
        <v>1232</v>
      </c>
      <c r="BE3" s="1123">
        <v>2001</v>
      </c>
      <c s="1123" t="s">
        <v>1260</v>
      </c>
      <c r="BH3" s="1070" t="s">
        <v>1261</v>
      </c>
      <c r="BJ3" s="1070" t="s">
        <v>1262</v>
      </c>
      <c r="BL3" s="1070" t="s">
        <v>1263</v>
      </c>
      <c r="BN3" s="1070" t="s">
        <v>1264</v>
      </c>
      <c r="BR3" s="1070" t="s">
        <v>1265</v>
      </c>
      <c s="1431"/>
      <c s="1073"/>
      <c s="1070" t="s">
        <v>1266</v>
      </c>
      <c s="1073"/>
      <c s="1693"/>
      <c s="1695" t="s">
        <v>1267</v>
      </c>
      <c r="CA3" s="1070" t="s">
        <v>1268</v>
      </c>
    </row>
    <row r="4" spans="1:79" ht="11.25" customHeight="1">
      <c r="A4" s="1077" t="s">
        <v>1269</v>
      </c>
      <c s="1078">
        <v>2002</v>
      </c>
      <c s="1078">
        <v>2024</v>
      </c>
      <c r="E4" s="1079" t="s">
        <v>1270</v>
      </c>
      <c s="1079" t="s">
        <v>1271</v>
      </c>
      <c r="H4" s="1080" t="s">
        <v>1272</v>
      </c>
      <c s="1079" t="s">
        <v>89</v>
      </c>
      <c s="1079" t="s">
        <v>1273</v>
      </c>
      <c s="1081" t="s">
        <v>1274</v>
      </c>
      <c s="1082">
        <f>IFERROR(MATCH(K4,OFFER_METHOD,0),0)</f>
        <v>0</v>
      </c>
      <c s="1081">
        <v>3</v>
      </c>
      <c s="1165" t="s">
        <v>1275</v>
      </c>
      <c s="1079" t="s">
        <v>1276</v>
      </c>
      <c r="Q4" s="1084" t="s">
        <v>1277</v>
      </c>
      <c s="146" t="s">
        <v>1278</v>
      </c>
      <c s="146" t="s">
        <v>1279</v>
      </c>
      <c s="1085" t="s">
        <v>1280</v>
      </c>
      <c s="1082" t="s">
        <v>1281</v>
      </c>
      <c s="1086">
        <v>3</v>
      </c>
      <c s="1087"/>
      <c s="1087" t="s">
        <v>1282</v>
      </c>
      <c s="1078" t="s">
        <v>1221</v>
      </c>
      <c s="1094"/>
      <c r="AC4" s="1078" t="s">
        <v>1283</v>
      </c>
      <c s="1089" t="s">
        <v>1283</v>
      </c>
      <c r="AF4" s="1080" t="s">
        <v>1281</v>
      </c>
      <c r="AH4" s="1080" t="s">
        <v>1284</v>
      </c>
      <c r="AK4" s="1079" t="s">
        <v>1285</v>
      </c>
      <c r="AM4" s="1079" t="s">
        <v>1286</v>
      </c>
      <c r="AP4" s="1090" t="s">
        <v>1247</v>
      </c>
      <c s="1091" t="s">
        <v>1247</v>
      </c>
      <c r="AS4" s="1078" t="s">
        <v>1287</v>
      </c>
      <c r="AU4" s="1123" t="s">
        <v>1288</v>
      </c>
      <c r="AW4" s="1123" t="s">
        <v>1289</v>
      </c>
      <c s="1123" t="s">
        <v>1289</v>
      </c>
      <c r="AZ4" s="1123" t="s">
        <v>1290</v>
      </c>
      <c r="BB4" s="1123" t="s">
        <v>1291</v>
      </c>
      <c s="1123" t="s">
        <v>1292</v>
      </c>
      <c r="BE4" s="1123">
        <v>2002</v>
      </c>
      <c s="1123" t="s">
        <v>1293</v>
      </c>
      <c r="BH4" s="1071" t="s">
        <v>1294</v>
      </c>
      <c r="BJ4" s="1071" t="s">
        <v>1294</v>
      </c>
      <c r="BL4" s="1071" t="s">
        <v>1294</v>
      </c>
      <c r="BN4" s="1071" t="s">
        <v>1294</v>
      </c>
      <c r="BQ4" s="1435" t="s">
        <v>1295</v>
      </c>
      <c s="1162" t="s">
        <v>1296</v>
      </c>
      <c s="277"/>
      <c s="1435" t="s">
        <v>1297</v>
      </c>
      <c s="1162" t="s">
        <v>1298</v>
      </c>
      <c s="1073"/>
      <c s="1700" t="s">
        <v>1299</v>
      </c>
      <c s="1694" t="s">
        <v>1300</v>
      </c>
      <c r="BZ4" s="1435" t="s">
        <v>1301</v>
      </c>
      <c s="1162" t="s">
        <v>1302</v>
      </c>
    </row>
    <row r="5" spans="1:79" ht="11.25" customHeight="1">
      <c r="A5" s="1077" t="s">
        <v>1303</v>
      </c>
      <c s="1078">
        <v>2003</v>
      </c>
      <c s="1078">
        <v>2025</v>
      </c>
      <c r="E5" s="1079" t="s">
        <v>1304</v>
      </c>
      <c s="1079" t="s">
        <v>1305</v>
      </c>
      <c r="H5" s="1080" t="s">
        <v>1306</v>
      </c>
      <c s="1079" t="s">
        <v>90</v>
      </c>
      <c r="K5" s="1081" t="s">
        <v>1307</v>
      </c>
      <c s="1082">
        <f>IFERROR(MATCH(K5,OFFER_METHOD,0),0)</f>
        <v>0</v>
      </c>
      <c s="1081">
        <v>4</v>
      </c>
      <c s="1095" t="s">
        <v>1308</v>
      </c>
      <c s="1079" t="s">
        <v>1309</v>
      </c>
      <c r="Q5" s="1084" t="s">
        <v>1310</v>
      </c>
      <c s="146" t="s">
        <v>1311</v>
      </c>
      <c r="T5" s="1080" t="s">
        <v>1312</v>
      </c>
      <c s="1082" t="s">
        <v>1313</v>
      </c>
      <c s="1086">
        <v>4</v>
      </c>
      <c s="1087"/>
      <c s="1087" t="s">
        <v>168</v>
      </c>
      <c s="1078" t="s">
        <v>1314</v>
      </c>
      <c s="1094">
        <v>1</v>
      </c>
      <c r="AF5" s="1080" t="s">
        <v>1315</v>
      </c>
      <c r="AH5" s="1079" t="s">
        <v>1316</v>
      </c>
      <c r="AK5" s="1079" t="s">
        <v>1317</v>
      </c>
      <c r="AM5" s="1079" t="s">
        <v>1318</v>
      </c>
      <c r="AP5" s="1090" t="s">
        <v>168</v>
      </c>
      <c s="1091" t="s">
        <v>168</v>
      </c>
      <c r="AU5" s="1123" t="s">
        <v>1319</v>
      </c>
      <c r="AW5" s="1123" t="s">
        <v>1320</v>
      </c>
      <c s="1123" t="s">
        <v>1320</v>
      </c>
      <c r="AZ5" s="1123" t="s">
        <v>1321</v>
      </c>
      <c r="BB5" s="1123" t="s">
        <v>1322</v>
      </c>
      <c s="1123" t="s">
        <v>1323</v>
      </c>
      <c r="BE5" s="1123">
        <v>2003</v>
      </c>
      <c s="1123" t="s">
        <v>1324</v>
      </c>
      <c r="BH5" s="1071" t="s">
        <v>1325</v>
      </c>
      <c r="BJ5" s="1071" t="s">
        <v>1325</v>
      </c>
      <c r="BL5" s="1071" t="s">
        <v>1325</v>
      </c>
      <c r="BN5" s="1071" t="s">
        <v>1326</v>
      </c>
      <c r="BQ5" s="1284">
        <v>4213775</v>
      </c>
      <c s="1071" t="s">
        <v>1220</v>
      </c>
      <c s="1432"/>
      <c s="1284">
        <v>64236871</v>
      </c>
      <c s="1071" t="s">
        <v>229</v>
      </c>
      <c s="1073"/>
      <c s="1698">
        <v>4213767</v>
      </c>
      <c s="1696" t="s">
        <v>1327</v>
      </c>
      <c r="BZ5" s="1284">
        <v>64237509</v>
      </c>
      <c s="1298" t="s">
        <v>1328</v>
      </c>
    </row>
    <row r="6" spans="1:79" ht="11.25" customHeight="1">
      <c r="A6" s="1077" t="s">
        <v>1329</v>
      </c>
      <c s="1078">
        <v>2004</v>
      </c>
      <c s="1078">
        <v>2026</v>
      </c>
      <c r="E6" s="1079" t="s">
        <v>1330</v>
      </c>
      <c s="1096"/>
      <c r="H6" s="1080" t="s">
        <v>1331</v>
      </c>
      <c s="1079" t="s">
        <v>111</v>
      </c>
      <c s="1070" t="s">
        <v>1332</v>
      </c>
      <c r="L6" s="1082">
        <f>SUM(kind_of_control_method_filter)</f>
        <v>0</v>
      </c>
      <c r="N6" s="1095" t="s">
        <v>1333</v>
      </c>
      <c s="1079" t="s">
        <v>1334</v>
      </c>
      <c r="R6" s="146" t="s">
        <v>1215</v>
      </c>
      <c r="T6" s="1080" t="s">
        <v>1335</v>
      </c>
      <c s="1082" t="s">
        <v>1315</v>
      </c>
      <c s="1086">
        <v>5</v>
      </c>
      <c s="1087"/>
      <c s="1078" t="s">
        <v>174</v>
      </c>
      <c s="1078" t="s">
        <v>1336</v>
      </c>
      <c s="1094"/>
      <c s="1097"/>
      <c r="AH6" s="1079" t="s">
        <v>1337</v>
      </c>
      <c r="AK6" s="1079" t="s">
        <v>1338</v>
      </c>
      <c r="AM6" s="1079" t="s">
        <v>1339</v>
      </c>
      <c r="AP6" s="1090" t="s">
        <v>174</v>
      </c>
      <c s="1091" t="s">
        <v>174</v>
      </c>
      <c r="AU6" s="1123" t="s">
        <v>1340</v>
      </c>
      <c r="AW6" s="1123" t="s">
        <v>1341</v>
      </c>
      <c s="1123" t="s">
        <v>1341</v>
      </c>
      <c r="BB6" s="1123" t="s">
        <v>1342</v>
      </c>
      <c s="1123" t="s">
        <v>1323</v>
      </c>
      <c r="BE6" s="1123">
        <v>2004</v>
      </c>
      <c s="1123" t="s">
        <v>1343</v>
      </c>
      <c r="BH6" s="1071" t="s">
        <v>1344</v>
      </c>
      <c r="BJ6" s="1071" t="s">
        <v>1345</v>
      </c>
      <c r="BL6" s="1071" t="s">
        <v>1345</v>
      </c>
      <c r="BN6" s="1071" t="s">
        <v>1346</v>
      </c>
      <c r="BQ6" s="1284">
        <v>4213784</v>
      </c>
      <c s="1298" t="s">
        <v>1254</v>
      </c>
      <c s="1433"/>
      <c s="1284">
        <v>64236872</v>
      </c>
      <c s="1071" t="s">
        <v>234</v>
      </c>
      <c s="1073"/>
      <c s="1698">
        <v>4213768</v>
      </c>
      <c s="1696" t="s">
        <v>254</v>
      </c>
      <c r="BZ6" s="1284">
        <v>64237510</v>
      </c>
      <c s="1071" t="s">
        <v>1347</v>
      </c>
    </row>
    <row r="7" spans="1:79" ht="11.25" customHeight="1">
      <c r="A7" s="1077" t="s">
        <v>1348</v>
      </c>
      <c s="1078">
        <v>2005</v>
      </c>
      <c r="E7" s="1079" t="s">
        <v>1349</v>
      </c>
      <c s="1096"/>
      <c r="H7" s="1080" t="s">
        <v>1350</v>
      </c>
      <c s="1079" t="s">
        <v>91</v>
      </c>
      <c s="1079" t="s">
        <v>1351</v>
      </c>
      <c r="N7" s="1099" t="s">
        <v>1352</v>
      </c>
      <c s="1079" t="s">
        <v>1353</v>
      </c>
      <c r="U7" s="1082" t="s">
        <v>19</v>
      </c>
      <c s="373" t="s">
        <v>91</v>
      </c>
      <c s="1087"/>
      <c s="1078" t="s">
        <v>180</v>
      </c>
      <c s="1078" t="s">
        <v>1314</v>
      </c>
      <c s="1094"/>
      <c s="1097"/>
      <c r="AH7" s="1079" t="s">
        <v>1354</v>
      </c>
      <c r="AK7" s="1079" t="s">
        <v>1355</v>
      </c>
      <c r="AM7" s="1079" t="s">
        <v>1356</v>
      </c>
      <c r="AP7" s="1090" t="s">
        <v>180</v>
      </c>
      <c s="1091" t="s">
        <v>180</v>
      </c>
      <c r="AU7" s="1123" t="s">
        <v>1357</v>
      </c>
      <c r="AW7" s="1123" t="s">
        <v>1358</v>
      </c>
      <c s="1123" t="s">
        <v>1358</v>
      </c>
      <c r="AZ7" s="1070" t="s">
        <v>1359</v>
      </c>
      <c r="BB7" s="1123" t="s">
        <v>1360</v>
      </c>
      <c s="1123" t="s">
        <v>1323</v>
      </c>
      <c r="BE7" s="1123">
        <v>2005</v>
      </c>
      <c s="1123" t="s">
        <v>1361</v>
      </c>
      <c r="BH7" s="1071" t="s">
        <v>1362</v>
      </c>
      <c r="BJ7" s="1071" t="s">
        <v>1344</v>
      </c>
      <c r="BL7" s="1071" t="s">
        <v>1344</v>
      </c>
      <c r="BN7" s="1071" t="s">
        <v>1363</v>
      </c>
      <c r="BQ7" s="1284">
        <v>4213781</v>
      </c>
      <c s="1071" t="s">
        <v>1247</v>
      </c>
      <c s="1432"/>
      <c s="1284">
        <v>64236873</v>
      </c>
      <c s="1071" t="s">
        <v>239</v>
      </c>
      <c s="1073"/>
      <c s="1698">
        <v>4213769</v>
      </c>
      <c s="1696" t="s">
        <v>1364</v>
      </c>
      <c r="BZ7" s="1284">
        <v>64237511</v>
      </c>
      <c s="1071" t="s">
        <v>269</v>
      </c>
    </row>
    <row r="8" spans="1:79" ht="11.25" customHeight="1">
      <c r="A8" s="1077" t="s">
        <v>1365</v>
      </c>
      <c s="1078">
        <v>2006</v>
      </c>
      <c r="E8" s="1079" t="s">
        <v>1366</v>
      </c>
      <c s="1096"/>
      <c r="H8" s="1080" t="s">
        <v>1367</v>
      </c>
      <c s="1079" t="s">
        <v>92</v>
      </c>
      <c s="1079" t="s">
        <v>1368</v>
      </c>
      <c r="N8" s="1166" t="s">
        <v>1369</v>
      </c>
      <c s="1079" t="s">
        <v>1370</v>
      </c>
      <c r="V8" s="373" t="s">
        <v>92</v>
      </c>
      <c s="1087"/>
      <c s="1078" t="s">
        <v>186</v>
      </c>
      <c s="1078" t="s">
        <v>1314</v>
      </c>
      <c s="1094"/>
      <c s="1097"/>
      <c r="AK8" s="1079" t="s">
        <v>1371</v>
      </c>
      <c r="AP8" s="1090" t="s">
        <v>186</v>
      </c>
      <c s="1091" t="s">
        <v>186</v>
      </c>
      <c r="AU8" s="1123" t="s">
        <v>1372</v>
      </c>
      <c r="AW8" s="1123" t="s">
        <v>1373</v>
      </c>
      <c s="1123" t="s">
        <v>1373</v>
      </c>
      <c r="AZ8" s="1123" t="s">
        <v>1374</v>
      </c>
      <c r="BB8" s="1123" t="s">
        <v>1375</v>
      </c>
      <c s="1123" t="s">
        <v>1323</v>
      </c>
      <c r="BE8" s="1123">
        <v>2006</v>
      </c>
      <c s="1123" t="s">
        <v>1376</v>
      </c>
      <c r="BH8" s="1071" t="s">
        <v>1377</v>
      </c>
      <c r="BJ8" s="1071" t="s">
        <v>1378</v>
      </c>
      <c r="BL8" s="1071" t="s">
        <v>1378</v>
      </c>
      <c r="BN8" s="1071" t="s">
        <v>1379</v>
      </c>
      <c r="BQ8" s="1284">
        <v>4213776</v>
      </c>
      <c s="1071" t="s">
        <v>168</v>
      </c>
      <c s="1432"/>
      <c s="1284">
        <v>64236874</v>
      </c>
      <c s="1298" t="s">
        <v>1380</v>
      </c>
      <c s="1073"/>
      <c s="1698">
        <v>4213770</v>
      </c>
      <c s="1699" t="s">
        <v>1381</v>
      </c>
      <c r="BZ8" s="1284">
        <v>64237512</v>
      </c>
      <c s="1071" t="s">
        <v>264</v>
      </c>
    </row>
    <row r="9" spans="1:76" ht="11.25" customHeight="1">
      <c r="A9" s="1077" t="s">
        <v>1382</v>
      </c>
      <c s="1078">
        <v>2007</v>
      </c>
      <c r="E9" s="1079" t="s">
        <v>1383</v>
      </c>
      <c s="1096"/>
      <c s="1070" t="s">
        <v>1384</v>
      </c>
      <c s="1070" t="s">
        <v>1385</v>
      </c>
      <c s="1079" t="s">
        <v>112</v>
      </c>
      <c r="O9" s="1079" t="s">
        <v>1386</v>
      </c>
      <c r="V9" s="373" t="s">
        <v>112</v>
      </c>
      <c s="1087"/>
      <c s="1078" t="s">
        <v>192</v>
      </c>
      <c s="1078" t="s">
        <v>1221</v>
      </c>
      <c s="1094">
        <v>1</v>
      </c>
      <c s="1097"/>
      <c r="AK9" s="1079" t="s">
        <v>1387</v>
      </c>
      <c r="AP9" s="1090" t="s">
        <v>1388</v>
      </c>
      <c s="1091" t="s">
        <v>1388</v>
      </c>
      <c r="AW9" s="1123" t="s">
        <v>1389</v>
      </c>
      <c s="1123" t="s">
        <v>1389</v>
      </c>
      <c r="AZ9" s="1123" t="s">
        <v>1390</v>
      </c>
      <c r="BB9" s="1123" t="s">
        <v>1391</v>
      </c>
      <c s="1123" t="s">
        <v>1323</v>
      </c>
      <c r="BE9" s="1123">
        <v>2007</v>
      </c>
      <c s="1123" t="s">
        <v>1392</v>
      </c>
      <c r="BH9" s="1071" t="s">
        <v>1393</v>
      </c>
      <c r="BJ9" s="1071" t="s">
        <v>1394</v>
      </c>
      <c r="BL9" s="1071" t="s">
        <v>1394</v>
      </c>
      <c r="BN9" s="1071" t="s">
        <v>1395</v>
      </c>
      <c r="BQ9" s="1284">
        <v>4213777</v>
      </c>
      <c s="1071" t="s">
        <v>174</v>
      </c>
      <c s="1432"/>
      <c s="1284">
        <v>64236875</v>
      </c>
      <c s="1071" t="s">
        <v>244</v>
      </c>
      <c s="1073"/>
      <c s="1693"/>
      <c s="1693"/>
    </row>
    <row r="10" spans="1:76" ht="11.25" customHeight="1">
      <c r="A10" s="1077" t="s">
        <v>1396</v>
      </c>
      <c s="1078">
        <v>2008</v>
      </c>
      <c r="E10" s="1079" t="s">
        <v>1397</v>
      </c>
      <c s="1096"/>
      <c s="1079" t="s">
        <v>1398</v>
      </c>
      <c s="1079" t="s">
        <v>1399</v>
      </c>
      <c s="1079" t="s">
        <v>150</v>
      </c>
      <c s="1070" t="s">
        <v>1400</v>
      </c>
      <c s="1070" t="s">
        <v>1401</v>
      </c>
      <c r="O10" s="1079" t="s">
        <v>1402</v>
      </c>
      <c r="V10" s="374" t="s">
        <v>150</v>
      </c>
      <c s="1100"/>
      <c s="1100" t="s">
        <v>1403</v>
      </c>
      <c s="1101" t="s">
        <v>1404</v>
      </c>
      <c s="1094"/>
      <c r="AP10" s="1090" t="s">
        <v>1403</v>
      </c>
      <c s="1091" t="s">
        <v>1403</v>
      </c>
      <c r="AW10" s="1123" t="s">
        <v>1405</v>
      </c>
      <c s="1123" t="s">
        <v>1405</v>
      </c>
      <c r="AZ10" s="1123" t="s">
        <v>1406</v>
      </c>
      <c r="BB10" s="1123" t="s">
        <v>1407</v>
      </c>
      <c s="1123" t="s">
        <v>1323</v>
      </c>
      <c r="BE10" s="1123">
        <v>2008</v>
      </c>
      <c s="1123" t="s">
        <v>1408</v>
      </c>
      <c r="BH10" s="1071" t="s">
        <v>1409</v>
      </c>
      <c r="BJ10" s="1071" t="s">
        <v>1410</v>
      </c>
      <c r="BL10" s="1071" t="s">
        <v>1410</v>
      </c>
      <c r="BN10" s="1071" t="s">
        <v>1411</v>
      </c>
      <c r="BQ10" s="1284">
        <v>4213778</v>
      </c>
      <c s="1071" t="s">
        <v>180</v>
      </c>
      <c s="1432"/>
      <c s="1284">
        <v>64236876</v>
      </c>
      <c s="1071" t="s">
        <v>224</v>
      </c>
      <c s="1073"/>
      <c s="1693"/>
      <c s="1693"/>
    </row>
    <row r="11" spans="1:76" ht="11.25" customHeight="1">
      <c r="A11" s="1077" t="s">
        <v>1412</v>
      </c>
      <c s="1078">
        <v>2009</v>
      </c>
      <c r="E11" s="1079" t="s">
        <v>1413</v>
      </c>
      <c s="1096"/>
      <c s="1079" t="s">
        <v>1414</v>
      </c>
      <c s="1079" t="s">
        <v>1415</v>
      </c>
      <c s="1079" t="s">
        <v>151</v>
      </c>
      <c s="1080" t="s">
        <v>1416</v>
      </c>
      <c s="1102" t="s">
        <v>1417</v>
      </c>
      <c r="O11" s="1080" t="s">
        <v>1418</v>
      </c>
      <c r="V11" s="373" t="s">
        <v>151</v>
      </c>
      <c s="278"/>
      <c s="1087" t="s">
        <v>1388</v>
      </c>
      <c s="1078" t="s">
        <v>1419</v>
      </c>
      <c s="1094"/>
      <c r="AP11" s="1090" t="s">
        <v>192</v>
      </c>
      <c s="1092" t="s">
        <v>192</v>
      </c>
      <c r="AW11" s="1123" t="s">
        <v>1420</v>
      </c>
      <c s="1123" t="s">
        <v>1420</v>
      </c>
      <c r="AZ11" s="1123" t="s">
        <v>1421</v>
      </c>
      <c r="BB11" s="1123" t="s">
        <v>1422</v>
      </c>
      <c s="1123" t="s">
        <v>1323</v>
      </c>
      <c r="BE11" s="1123">
        <v>2009</v>
      </c>
      <c s="1123" t="s">
        <v>1423</v>
      </c>
      <c r="BH11" s="1071" t="s">
        <v>1424</v>
      </c>
      <c r="BJ11" s="1071" t="s">
        <v>1393</v>
      </c>
      <c r="BL11" s="1071" t="s">
        <v>1393</v>
      </c>
      <c r="BN11" s="1071" t="s">
        <v>1425</v>
      </c>
      <c r="BQ11" s="1284">
        <v>4213780</v>
      </c>
      <c s="1071" t="s">
        <v>186</v>
      </c>
      <c s="1432"/>
      <c r="BW11" s="1693"/>
      <c s="1693"/>
    </row>
    <row r="12" spans="1:25 42:76" ht="11.25" customHeight="1">
      <c r="A12" s="1077" t="s">
        <v>1426</v>
      </c>
      <c s="1078">
        <v>2010</v>
      </c>
      <c r="E12" s="1079" t="s">
        <v>1427</v>
      </c>
      <c s="1096"/>
      <c s="1079" t="s">
        <v>1415</v>
      </c>
      <c r="I12" s="1079" t="s">
        <v>152</v>
      </c>
      <c s="1080" t="s">
        <v>1428</v>
      </c>
      <c s="1102" t="s">
        <v>1429</v>
      </c>
      <c r="O12" s="1080" t="s">
        <v>1215</v>
      </c>
      <c r="V12" s="373" t="s">
        <v>152</v>
      </c>
      <c s="1092"/>
      <c s="1087" t="s">
        <v>1430</v>
      </c>
      <c s="1078" t="s">
        <v>1221</v>
      </c>
      <c r="AP12" s="1090"/>
      <c r="AW12" s="1123" t="s">
        <v>151</v>
      </c>
      <c s="1123" t="s">
        <v>151</v>
      </c>
      <c r="AZ12" s="1123" t="s">
        <v>1431</v>
      </c>
      <c r="BB12" s="1123" t="s">
        <v>1432</v>
      </c>
      <c s="1123" t="s">
        <v>1323</v>
      </c>
      <c r="BE12" s="1123">
        <v>2010</v>
      </c>
      <c s="1123" t="s">
        <v>1433</v>
      </c>
      <c r="BH12" s="1071" t="s">
        <v>1434</v>
      </c>
      <c r="BJ12" s="1071" t="s">
        <v>1435</v>
      </c>
      <c r="BL12" s="1071" t="s">
        <v>1435</v>
      </c>
      <c r="BN12" s="1071" t="s">
        <v>1436</v>
      </c>
      <c r="BQ12" s="1284">
        <v>4213779</v>
      </c>
      <c s="1071" t="s">
        <v>1388</v>
      </c>
      <c s="1432"/>
      <c s="1073"/>
      <c s="1073"/>
      <c s="1073"/>
      <c s="1693"/>
      <c s="1693"/>
    </row>
    <row r="13" spans="1:25 49:76" ht="11.25" customHeight="1">
      <c r="A13" s="1077" t="s">
        <v>1437</v>
      </c>
      <c s="1078">
        <v>2011</v>
      </c>
      <c r="E13" s="1079" t="s">
        <v>1438</v>
      </c>
      <c s="1096"/>
      <c r="I13" s="1079" t="s">
        <v>153</v>
      </c>
      <c r="K13" s="1102" t="s">
        <v>1387</v>
      </c>
      <c r="V13" s="373" t="s">
        <v>153</v>
      </c>
      <c s="1092"/>
      <c s="1092"/>
      <c s="1092"/>
      <c r="AW13" s="1123" t="s">
        <v>152</v>
      </c>
      <c s="1123" t="s">
        <v>152</v>
      </c>
      <c r="BB13" s="1123" t="s">
        <v>1439</v>
      </c>
      <c s="1123" t="s">
        <v>1440</v>
      </c>
      <c r="BE13" s="1123">
        <v>2011</v>
      </c>
      <c s="1123" t="s">
        <v>1441</v>
      </c>
      <c r="BH13" s="1071" t="s">
        <v>1442</v>
      </c>
      <c r="BJ13" s="1071" t="s">
        <v>1424</v>
      </c>
      <c r="BL13" s="1071" t="s">
        <v>1424</v>
      </c>
      <c r="BN13" s="1071" t="s">
        <v>1443</v>
      </c>
      <c r="BQ13" s="1284">
        <v>4213783</v>
      </c>
      <c s="1071" t="s">
        <v>1403</v>
      </c>
      <c s="1432"/>
      <c s="1073"/>
      <c s="1073"/>
      <c s="1073"/>
      <c s="1697"/>
      <c s="1693"/>
    </row>
    <row r="14" spans="1:25 49:76" ht="11.25" customHeight="1">
      <c r="A14" s="1077" t="s">
        <v>1444</v>
      </c>
      <c s="1078">
        <v>2012</v>
      </c>
      <c r="I14" s="1079" t="s">
        <v>154</v>
      </c>
      <c s="1070" t="s">
        <v>1445</v>
      </c>
      <c r="N14" s="1070" t="s">
        <v>1446</v>
      </c>
      <c r="V14" s="1086">
        <v>13</v>
      </c>
      <c s="1087"/>
      <c s="1087" t="s">
        <v>1254</v>
      </c>
      <c s="1078" t="s">
        <v>1221</v>
      </c>
      <c r="AW14" s="1123" t="s">
        <v>153</v>
      </c>
      <c s="1123" t="s">
        <v>153</v>
      </c>
      <c r="AZ14" s="1070" t="s">
        <v>1447</v>
      </c>
      <c r="BB14" s="1123" t="s">
        <v>1448</v>
      </c>
      <c s="1123" t="s">
        <v>1440</v>
      </c>
      <c r="BE14" s="1123">
        <v>2012</v>
      </c>
      <c r="BH14" s="1071" t="s">
        <v>1363</v>
      </c>
      <c r="BJ14" s="1220" t="s">
        <v>1449</v>
      </c>
      <c r="BL14" s="1220" t="s">
        <v>1449</v>
      </c>
      <c r="BN14" s="1071" t="s">
        <v>1450</v>
      </c>
      <c r="BQ14" s="1284">
        <v>4213782</v>
      </c>
      <c s="1071" t="s">
        <v>192</v>
      </c>
      <c s="1432"/>
      <c s="1073"/>
      <c s="1073"/>
      <c s="1073"/>
      <c s="1697"/>
      <c s="1693"/>
    </row>
    <row r="15" spans="1:24 49:76" ht="19.5" customHeight="1">
      <c r="A15" s="1077" t="s">
        <v>1451</v>
      </c>
      <c s="1078">
        <v>2013</v>
      </c>
      <c r="E15" s="1701" t="s">
        <v>1452</v>
      </c>
      <c r="G15" s="1070" t="s">
        <v>1453</v>
      </c>
      <c s="1070" t="s">
        <v>1454</v>
      </c>
      <c s="1081" t="s">
        <v>155</v>
      </c>
      <c s="1092" t="s">
        <v>583</v>
      </c>
      <c r="N15" s="1161" t="s">
        <v>1455</v>
      </c>
      <c r="X15" s="1090"/>
      <c r="AW15" s="1123" t="s">
        <v>154</v>
      </c>
      <c s="1123" t="s">
        <v>154</v>
      </c>
      <c r="AZ15" s="1123" t="s">
        <v>1374</v>
      </c>
      <c r="BB15" s="1123" t="s">
        <v>1456</v>
      </c>
      <c s="1123" t="s">
        <v>1440</v>
      </c>
      <c r="BE15" s="1123">
        <v>2013</v>
      </c>
      <c r="BH15" s="1071" t="s">
        <v>1379</v>
      </c>
      <c r="BJ15" s="1220" t="s">
        <v>1457</v>
      </c>
      <c r="BL15" s="1220" t="s">
        <v>1457</v>
      </c>
      <c r="BN15" s="1071" t="s">
        <v>1458</v>
      </c>
      <c r="BR15" s="1073"/>
      <c s="1434"/>
      <c s="1073"/>
      <c s="1073"/>
      <c s="1073"/>
      <c s="1697"/>
      <c s="1693"/>
    </row>
    <row r="16" spans="1:14 49:76" ht="21" customHeight="1">
      <c r="A16" s="1873" t="s">
        <v>1459</v>
      </c>
      <c s="1078">
        <v>2014</v>
      </c>
      <c r="E16" s="1702" t="s">
        <v>1460</v>
      </c>
      <c r="G16" s="1079" t="s">
        <v>1461</v>
      </c>
      <c s="1079" t="s">
        <v>1462</v>
      </c>
      <c s="1081" t="s">
        <v>1463</v>
      </c>
      <c s="1092" t="s">
        <v>556</v>
      </c>
      <c r="N16" s="1161" t="s">
        <v>1464</v>
      </c>
      <c r="AW16" s="1123" t="s">
        <v>155</v>
      </c>
      <c s="1123" t="s">
        <v>155</v>
      </c>
      <c r="AZ16" s="1123" t="s">
        <v>1390</v>
      </c>
      <c r="BB16" s="1123" t="s">
        <v>1465</v>
      </c>
      <c s="1123" t="s">
        <v>1440</v>
      </c>
      <c r="BE16" s="1123">
        <v>2014</v>
      </c>
      <c r="BH16" s="1071" t="s">
        <v>1395</v>
      </c>
      <c r="BJ16" s="1220" t="s">
        <v>1466</v>
      </c>
      <c r="BL16" s="1220" t="s">
        <v>1466</v>
      </c>
      <c r="BN16" s="1071" t="s">
        <v>1467</v>
      </c>
      <c r="BR16" s="1073"/>
      <c s="1434"/>
      <c s="1073"/>
      <c s="1073"/>
      <c s="1073"/>
      <c s="1697"/>
      <c s="1693"/>
    </row>
    <row r="17" spans="1:24 49:82" ht="21" customHeight="1">
      <c r="A17" s="1077" t="s">
        <v>1468</v>
      </c>
      <c s="1078">
        <v>2015</v>
      </c>
      <c r="G17" s="1079" t="s">
        <v>1415</v>
      </c>
      <c s="1079" t="s">
        <v>1415</v>
      </c>
      <c s="1079" t="s">
        <v>1469</v>
      </c>
      <c r="N17" s="1161" t="s">
        <v>1470</v>
      </c>
      <c r="X17" s="1090"/>
      <c r="AW17" s="1123" t="s">
        <v>1463</v>
      </c>
      <c s="1123" t="s">
        <v>1463</v>
      </c>
      <c r="AZ17" s="1123" t="s">
        <v>1471</v>
      </c>
      <c r="BB17" s="1123" t="s">
        <v>1472</v>
      </c>
      <c s="1123" t="s">
        <v>1323</v>
      </c>
      <c r="BE17" s="1123">
        <v>2015</v>
      </c>
      <c r="BH17" s="1071" t="s">
        <v>1411</v>
      </c>
      <c r="BJ17" s="1220" t="s">
        <v>1473</v>
      </c>
      <c r="BL17" s="1220" t="s">
        <v>1473</v>
      </c>
      <c r="BN17" s="1071" t="s">
        <v>1474</v>
      </c>
      <c r="BR17" s="1070" t="s">
        <v>1265</v>
      </c>
      <c s="1431"/>
      <c r="BU17" s="1070" t="s">
        <v>1475</v>
      </c>
      <c s="1073"/>
      <c s="1693"/>
      <c s="1695" t="s">
        <v>1476</v>
      </c>
      <c r="CA17" s="1070" t="s">
        <v>1477</v>
      </c>
      <c r="CD17" s="1070" t="s">
        <v>1478</v>
      </c>
    </row>
    <row r="18" spans="1:24 49:82" ht="21" customHeight="1">
      <c r="A18" s="1077" t="s">
        <v>1479</v>
      </c>
      <c s="1078">
        <v>2016</v>
      </c>
      <c r="E18" s="2008" t="s">
        <v>1480</v>
      </c>
      <c r="I18" s="1079" t="s">
        <v>1481</v>
      </c>
      <c r="N18" s="1161" t="s">
        <v>1482</v>
      </c>
      <c r="X18" s="1090"/>
      <c r="AW18" s="1123" t="s">
        <v>1469</v>
      </c>
      <c s="1123" t="s">
        <v>1469</v>
      </c>
      <c r="BB18" s="1123" t="s">
        <v>1483</v>
      </c>
      <c s="1123" t="s">
        <v>1323</v>
      </c>
      <c r="BE18" s="1123">
        <v>2016</v>
      </c>
      <c r="BH18" s="1071" t="s">
        <v>1425</v>
      </c>
      <c r="BJ18" s="1220" t="s">
        <v>1484</v>
      </c>
      <c r="BL18" s="1220" t="s">
        <v>1484</v>
      </c>
      <c r="BN18" s="1071" t="s">
        <v>1485</v>
      </c>
      <c r="BQ18" s="1435" t="s">
        <v>1295</v>
      </c>
      <c s="1162" t="s">
        <v>1296</v>
      </c>
      <c s="277"/>
      <c s="1435" t="s">
        <v>1486</v>
      </c>
      <c s="1162" t="s">
        <v>1487</v>
      </c>
      <c s="1073"/>
      <c s="1700" t="s">
        <v>1488</v>
      </c>
      <c s="1694" t="s">
        <v>1489</v>
      </c>
      <c r="BZ18" s="1435" t="s">
        <v>1490</v>
      </c>
      <c s="1162" t="s">
        <v>1491</v>
      </c>
      <c r="CC18" s="1435" t="s">
        <v>1492</v>
      </c>
      <c s="1162" t="s">
        <v>1493</v>
      </c>
    </row>
    <row r="19" spans="1:24 49:82" ht="21" customHeight="1">
      <c r="A19" s="1873" t="s">
        <v>1494</v>
      </c>
      <c s="1078">
        <v>2017</v>
      </c>
      <c r="E19" s="1077" t="s">
        <v>167</v>
      </c>
      <c r="I19" s="1079" t="s">
        <v>1495</v>
      </c>
      <c r="N19" s="1161" t="s">
        <v>1496</v>
      </c>
      <c r="X19" s="1090"/>
      <c r="AW19" s="1123" t="s">
        <v>1481</v>
      </c>
      <c s="1123" t="s">
        <v>1481</v>
      </c>
      <c r="AZ19" s="1070" t="s">
        <v>1497</v>
      </c>
      <c r="BB19" s="1123" t="s">
        <v>1498</v>
      </c>
      <c s="1123" t="s">
        <v>1323</v>
      </c>
      <c r="BE19" s="1123">
        <v>2017</v>
      </c>
      <c r="BH19" s="1071" t="s">
        <v>1499</v>
      </c>
      <c r="BJ19" s="1220" t="s">
        <v>1500</v>
      </c>
      <c r="BL19" s="1220" t="s">
        <v>1500</v>
      </c>
      <c r="BQ19" s="1284">
        <v>4190064</v>
      </c>
      <c s="1071" t="s">
        <v>1501</v>
      </c>
      <c s="1432"/>
      <c s="1284">
        <v>4189671</v>
      </c>
      <c s="1071" t="s">
        <v>1502</v>
      </c>
      <c s="1073"/>
      <c s="1698">
        <v>4189706</v>
      </c>
      <c s="1696" t="s">
        <v>1503</v>
      </c>
      <c r="BZ19" s="1284">
        <v>4189714</v>
      </c>
      <c s="1071" t="s">
        <v>1504</v>
      </c>
      <c r="CC19" s="1284">
        <v>4189708</v>
      </c>
      <c s="1071" t="s">
        <v>1505</v>
      </c>
    </row>
    <row r="20" spans="1:14 49:82" ht="21" customHeight="1">
      <c r="A20" s="1077" t="s">
        <v>1506</v>
      </c>
      <c s="1078">
        <v>2018</v>
      </c>
      <c r="E20" s="1077" t="s">
        <v>1254</v>
      </c>
      <c r="I20" s="1079" t="s">
        <v>1507</v>
      </c>
      <c r="N20" s="1161" t="s">
        <v>1508</v>
      </c>
      <c r="AW20" s="1123" t="s">
        <v>1495</v>
      </c>
      <c s="1123" t="s">
        <v>1495</v>
      </c>
      <c r="AZ20" s="1123" t="s">
        <v>1509</v>
      </c>
      <c r="BB20" s="1123" t="s">
        <v>1510</v>
      </c>
      <c s="1123" t="s">
        <v>1440</v>
      </c>
      <c r="BE20" s="1123">
        <v>2018</v>
      </c>
      <c r="BH20" s="1071" t="s">
        <v>1436</v>
      </c>
      <c r="BJ20" s="1071" t="s">
        <v>1363</v>
      </c>
      <c r="BL20" s="1071" t="s">
        <v>1363</v>
      </c>
      <c r="BQ20" s="1284">
        <v>4190065</v>
      </c>
      <c s="1071" t="s">
        <v>1511</v>
      </c>
      <c s="1432"/>
      <c s="1284">
        <v>4189672</v>
      </c>
      <c s="1071" t="s">
        <v>1512</v>
      </c>
      <c s="1073"/>
      <c s="1698">
        <v>4189705</v>
      </c>
      <c s="1696" t="s">
        <v>1513</v>
      </c>
      <c r="BZ20" s="1284">
        <v>4189713</v>
      </c>
      <c s="1071" t="s">
        <v>1513</v>
      </c>
      <c r="CC20" s="1284">
        <v>4189709</v>
      </c>
      <c s="1071" t="s">
        <v>1514</v>
      </c>
    </row>
    <row r="21" spans="1:14 49:82" ht="21" customHeight="1">
      <c r="A21" s="1077" t="s">
        <v>1515</v>
      </c>
      <c s="1078">
        <v>2019</v>
      </c>
      <c r="I21" s="1079" t="s">
        <v>1516</v>
      </c>
      <c r="N21" s="1161" t="s">
        <v>1517</v>
      </c>
      <c r="AW21" s="1123" t="s">
        <v>1507</v>
      </c>
      <c s="1123" t="s">
        <v>1507</v>
      </c>
      <c r="AZ21" s="1123" t="s">
        <v>1518</v>
      </c>
      <c r="BB21" s="1123" t="s">
        <v>1519</v>
      </c>
      <c s="1123" t="s">
        <v>1323</v>
      </c>
      <c r="BE21" s="1123">
        <v>2019</v>
      </c>
      <c r="BH21" s="1071" t="s">
        <v>1443</v>
      </c>
      <c r="BJ21" s="1071" t="s">
        <v>1379</v>
      </c>
      <c r="BL21" s="1071" t="s">
        <v>1379</v>
      </c>
      <c r="BQ21" s="1284">
        <v>4190066</v>
      </c>
      <c s="1071" t="s">
        <v>1520</v>
      </c>
      <c s="1432"/>
      <c s="1284">
        <v>4189673</v>
      </c>
      <c s="1071" t="s">
        <v>1521</v>
      </c>
      <c s="1073"/>
      <c s="1698">
        <v>4189707</v>
      </c>
      <c s="1696" t="s">
        <v>1522</v>
      </c>
      <c r="BZ21" s="1284">
        <v>4189712</v>
      </c>
      <c s="1071" t="s">
        <v>1523</v>
      </c>
      <c r="CC21" s="1284">
        <v>4189710</v>
      </c>
      <c s="1071" t="s">
        <v>1524</v>
      </c>
    </row>
    <row r="22" spans="1:14 49:82" ht="21" customHeight="1">
      <c r="A22" s="1077" t="s">
        <v>1525</v>
      </c>
      <c s="1078">
        <v>2020</v>
      </c>
      <c r="N22" s="1161" t="s">
        <v>1526</v>
      </c>
      <c r="AW22" s="1123" t="s">
        <v>1516</v>
      </c>
      <c s="1123" t="s">
        <v>1516</v>
      </c>
      <c r="AZ22" s="1123" t="s">
        <v>1527</v>
      </c>
      <c r="BB22" s="1123" t="s">
        <v>1528</v>
      </c>
      <c s="1123" t="s">
        <v>1323</v>
      </c>
      <c r="BE22" s="1123">
        <v>2020</v>
      </c>
      <c r="BH22" s="1071" t="s">
        <v>1450</v>
      </c>
      <c r="BJ22" s="1071" t="s">
        <v>1395</v>
      </c>
      <c r="BL22" s="1071" t="s">
        <v>1395</v>
      </c>
      <c r="BQ22" s="1284">
        <v>4190067</v>
      </c>
      <c s="1071" t="s">
        <v>1529</v>
      </c>
      <c s="1432"/>
      <c s="1284">
        <v>4189674</v>
      </c>
      <c s="1071" t="s">
        <v>1530</v>
      </c>
      <c s="1073"/>
      <c s="1073"/>
      <c r="CC22" s="1284">
        <v>4189711</v>
      </c>
      <c s="1071" t="s">
        <v>293</v>
      </c>
    </row>
    <row r="23" spans="1:2 49:82" ht="21" customHeight="1">
      <c r="A23" s="1077" t="s">
        <v>1531</v>
      </c>
      <c s="1078">
        <v>2021</v>
      </c>
      <c r="AW23" s="1123" t="s">
        <v>1532</v>
      </c>
      <c s="1123" t="s">
        <v>1532</v>
      </c>
      <c r="AZ23" s="1123" t="s">
        <v>1533</v>
      </c>
      <c r="BB23" s="1123" t="s">
        <v>1534</v>
      </c>
      <c s="1123" t="s">
        <v>1232</v>
      </c>
      <c r="BE23" s="1123">
        <v>2021</v>
      </c>
      <c r="BH23" s="1071" t="s">
        <v>1458</v>
      </c>
      <c r="BJ23" s="1071" t="s">
        <v>1411</v>
      </c>
      <c r="BL23" s="1071" t="s">
        <v>1411</v>
      </c>
      <c r="BQ23" s="1284">
        <v>4190068</v>
      </c>
      <c s="1071" t="s">
        <v>1535</v>
      </c>
      <c s="1432"/>
      <c s="1284">
        <v>4189675</v>
      </c>
      <c s="1071" t="s">
        <v>1536</v>
      </c>
      <c s="1073"/>
      <c s="1073"/>
      <c r="CC23" s="1284">
        <v>5110778</v>
      </c>
      <c s="1071" t="s">
        <v>1537</v>
      </c>
    </row>
    <row r="24" spans="1:2 49:82" ht="21" customHeight="1">
      <c r="A24" s="1077" t="s">
        <v>1538</v>
      </c>
      <c s="1078">
        <v>2022</v>
      </c>
      <c r="AW24" s="1123" t="s">
        <v>1539</v>
      </c>
      <c s="1123" t="s">
        <v>1539</v>
      </c>
      <c r="AZ24" s="1123" t="s">
        <v>1540</v>
      </c>
      <c r="BB24" s="1123" t="s">
        <v>1541</v>
      </c>
      <c s="1123" t="s">
        <v>1542</v>
      </c>
      <c r="BE24" s="1123">
        <v>2022</v>
      </c>
      <c r="BH24" s="1071" t="s">
        <v>1467</v>
      </c>
      <c r="BJ24" s="1071" t="s">
        <v>1425</v>
      </c>
      <c r="BL24" s="1071" t="s">
        <v>1425</v>
      </c>
      <c r="BQ24" s="1284">
        <v>4190069</v>
      </c>
      <c s="1071" t="s">
        <v>1543</v>
      </c>
      <c s="1432"/>
      <c s="1284">
        <v>4189676</v>
      </c>
      <c s="1071" t="s">
        <v>1544</v>
      </c>
      <c s="1073"/>
      <c s="1073"/>
      <c r="CC24" s="1284">
        <v>25575374</v>
      </c>
      <c s="1071" t="s">
        <v>1545</v>
      </c>
    </row>
    <row r="25" spans="1:2 49:75" ht="11.25" customHeight="1">
      <c r="A25" s="1077" t="s">
        <v>1546</v>
      </c>
      <c s="1078">
        <v>2023</v>
      </c>
      <c r="AW25" s="1123" t="s">
        <v>1547</v>
      </c>
      <c s="1123" t="s">
        <v>1547</v>
      </c>
      <c r="AZ25" s="1123" t="s">
        <v>1548</v>
      </c>
      <c r="BB25" s="1123" t="s">
        <v>1549</v>
      </c>
      <c s="1123" t="s">
        <v>1542</v>
      </c>
      <c r="BE25" s="1123">
        <v>2023</v>
      </c>
      <c r="BH25" s="1071" t="s">
        <v>1474</v>
      </c>
      <c r="BJ25" s="1071" t="s">
        <v>1499</v>
      </c>
      <c r="BL25" s="1071" t="s">
        <v>1499</v>
      </c>
      <c r="BQ25" s="1284">
        <v>4190070</v>
      </c>
      <c s="1071" t="s">
        <v>1550</v>
      </c>
      <c s="1432"/>
      <c s="1284">
        <v>4189677</v>
      </c>
      <c s="1071" t="s">
        <v>1551</v>
      </c>
      <c s="1073"/>
      <c s="1073"/>
    </row>
    <row r="26" spans="1:10 50:75" ht="11.25" customHeight="1">
      <c r="A26" s="1077" t="s">
        <v>1552</v>
      </c>
      <c s="1078">
        <v>2024</v>
      </c>
      <c r="J26" s="1734" t="s">
        <v>1553</v>
      </c>
      <c r="AX26" s="1123" t="s">
        <v>1554</v>
      </c>
      <c r="AZ26" s="1123" t="s">
        <v>1418</v>
      </c>
      <c r="BB26" s="1123" t="s">
        <v>1555</v>
      </c>
      <c s="1123" t="s">
        <v>1542</v>
      </c>
      <c r="BE26" s="1123">
        <v>2024</v>
      </c>
      <c r="BH26" s="1071" t="s">
        <v>1485</v>
      </c>
      <c r="BJ26" s="1071" t="s">
        <v>1436</v>
      </c>
      <c r="BL26" s="1071" t="s">
        <v>1436</v>
      </c>
      <c r="BQ26" s="1284">
        <v>4190071</v>
      </c>
      <c s="1071" t="s">
        <v>1556</v>
      </c>
      <c s="1432"/>
      <c r="BV26" s="1073"/>
      <c s="1073"/>
    </row>
    <row r="27" spans="1:10 50:75" ht="11.25" customHeight="1">
      <c r="A27" s="1077" t="s">
        <v>1557</v>
      </c>
      <c s="1078">
        <v>2025</v>
      </c>
      <c r="J27" s="179" t="s">
        <v>689</v>
      </c>
      <c r="AX27" s="1123" t="s">
        <v>1558</v>
      </c>
      <c r="BB27" s="1123" t="s">
        <v>1559</v>
      </c>
      <c s="1123" t="s">
        <v>1542</v>
      </c>
      <c r="BE27" s="1123">
        <v>2025</v>
      </c>
      <c r="BH27" s="1073" t="s">
        <v>22</v>
      </c>
      <c r="BJ27" s="1071" t="s">
        <v>1443</v>
      </c>
      <c r="BL27" s="1071" t="s">
        <v>1443</v>
      </c>
      <c r="BN27" s="1073" t="s">
        <v>22</v>
      </c>
      <c r="BQ27" s="1284">
        <v>4190072</v>
      </c>
      <c s="1071" t="s">
        <v>1560</v>
      </c>
      <c s="1432"/>
      <c r="BV27" s="1073"/>
      <c s="1073"/>
    </row>
    <row r="28" spans="1:8 50:75" ht="11.25" customHeight="1">
      <c r="A28" s="1077" t="s">
        <v>1561</v>
      </c>
      <c r="D28" s="1104"/>
      <c s="1105"/>
      <c s="1105"/>
      <c r="H28" s="1106" t="s">
        <v>1562</v>
      </c>
      <c r="AX28" s="1123" t="s">
        <v>1563</v>
      </c>
      <c r="AZ28" s="1070" t="s">
        <v>1564</v>
      </c>
      <c r="BB28" s="1123" t="s">
        <v>1565</v>
      </c>
      <c s="1123" t="s">
        <v>1566</v>
      </c>
      <c r="BE28" s="1123">
        <v>2026</v>
      </c>
      <c r="BH28" s="1073" t="s">
        <v>22</v>
      </c>
      <c r="BJ28" s="1071" t="s">
        <v>1450</v>
      </c>
      <c r="BL28" s="1071" t="s">
        <v>1450</v>
      </c>
      <c r="BN28" s="1073" t="s">
        <v>22</v>
      </c>
      <c r="BQ28" s="1284">
        <v>4190073</v>
      </c>
      <c s="1071" t="s">
        <v>1567</v>
      </c>
      <c s="1432"/>
      <c r="BV28" s="1073"/>
      <c s="1073"/>
    </row>
    <row r="29" spans="1:8 50:64" ht="11.25" customHeight="1">
      <c r="A29" s="1077" t="s">
        <v>1568</v>
      </c>
      <c r="D29" s="1107" t="s">
        <v>1569</v>
      </c>
      <c s="1108" t="str">
        <f>IF(TEMPLATE_GROUP="","",INDEX(StartDateList,MATCH(TEMPLATE_GROUP,CodeTemplateList,0),1))</f>
        <v>01.04.2024</v>
      </c>
      <c s="1108" t="str">
        <f>IF(TEMPLATE_GROUP="","",INDEX(EndDateList,MATCH(TEMPLATE_GROUP,CodeTemplateList,0),1))</f>
        <v>30.06.2024</v>
      </c>
      <c r="H29" s="1109" t="s">
        <v>1570</v>
      </c>
      <c r="AX29" s="1123" t="s">
        <v>1571</v>
      </c>
      <c r="AZ29" s="1123" t="s">
        <v>1216</v>
      </c>
      <c r="BB29" s="1123" t="s">
        <v>1418</v>
      </c>
      <c s="1094"/>
      <c r="BE29" s="1123">
        <v>2027</v>
      </c>
      <c r="BJ29" s="1071" t="s">
        <v>1458</v>
      </c>
      <c r="BL29" s="1071" t="s">
        <v>1458</v>
      </c>
    </row>
    <row r="30" spans="1:6 50:64" ht="11.25" customHeight="1">
      <c r="A30" s="1077" t="s">
        <v>16</v>
      </c>
      <c r="D30" s="1110"/>
      <c s="1111"/>
      <c s="1111"/>
      <c r="AX30" s="1123" t="s">
        <v>1572</v>
      </c>
      <c r="AZ30" s="1123" t="s">
        <v>1243</v>
      </c>
      <c r="BE30" s="1123">
        <v>2028</v>
      </c>
      <c r="BJ30" s="1071" t="s">
        <v>1573</v>
      </c>
      <c r="BL30" s="1071" t="s">
        <v>1573</v>
      </c>
    </row>
    <row r="31" spans="1:8 50:64" ht="12.75" customHeight="1">
      <c r="A31" s="1077" t="s">
        <v>1574</v>
      </c>
      <c r="D31" s="1104"/>
      <c s="1105"/>
      <c s="1105"/>
      <c r="H31" s="1112"/>
      <c r="AX31" s="1123" t="s">
        <v>1575</v>
      </c>
      <c r="AZ31" s="1123" t="s">
        <v>1576</v>
      </c>
      <c r="BE31" s="1123">
        <v>2029</v>
      </c>
      <c r="BJ31" s="1071" t="s">
        <v>1577</v>
      </c>
      <c r="BL31" s="1071" t="s">
        <v>1577</v>
      </c>
    </row>
    <row r="32" spans="1:15 50:64" ht="11.25" customHeight="1">
      <c r="A32" s="1077" t="s">
        <v>1578</v>
      </c>
      <c r="D32" s="1107" t="s">
        <v>1579</v>
      </c>
      <c s="1108" t="str">
        <f>IF(TEMPLATE_GROUP="","",INDEX(StartDateList,MATCH(TEMPLATE_GROUP,CodeTemplateList,0),1))</f>
        <v>01.04.2024</v>
      </c>
      <c s="1108" t="str">
        <f>IF(TEMPLATE_GROUP="","",INDEX(EndDateList,MATCH(TEMPLATE_GROUP,CodeTemplateList,0),1))</f>
        <v>30.06.2024</v>
      </c>
      <c r="H32" s="1113" t="s">
        <v>1580</v>
      </c>
      <c r="O32" s="1077" t="s">
        <v>1214</v>
      </c>
      <c r="AX32" s="1123" t="s">
        <v>1581</v>
      </c>
      <c r="AZ32" s="1123" t="s">
        <v>1311</v>
      </c>
      <c r="BE32" s="1123">
        <v>2030</v>
      </c>
      <c r="BJ32" s="1071" t="s">
        <v>1467</v>
      </c>
      <c r="BL32" s="1071" t="s">
        <v>1467</v>
      </c>
    </row>
    <row r="33" spans="1:15 50:64" ht="11.25" customHeight="1">
      <c r="A33" s="1077" t="s">
        <v>1582</v>
      </c>
      <c r="O33" s="1077" t="s">
        <v>1240</v>
      </c>
      <c r="AX33" s="1123" t="s">
        <v>1583</v>
      </c>
      <c r="AZ33" s="1123" t="s">
        <v>1215</v>
      </c>
      <c r="BE33" s="1123">
        <v>2031</v>
      </c>
      <c r="BJ33" s="1071" t="s">
        <v>1474</v>
      </c>
      <c r="BL33" s="1071" t="s">
        <v>1474</v>
      </c>
    </row>
    <row r="34" spans="1:15 50:64" ht="11.25" customHeight="1">
      <c r="A34" s="1077" t="s">
        <v>1584</v>
      </c>
      <c r="O34" s="1077" t="s">
        <v>1276</v>
      </c>
      <c r="AX34" s="1123" t="s">
        <v>1585</v>
      </c>
      <c r="BE34" s="1123">
        <v>2032</v>
      </c>
      <c r="BJ34" s="1071" t="s">
        <v>1485</v>
      </c>
      <c r="BL34" s="1071" t="s">
        <v>1485</v>
      </c>
    </row>
    <row r="35" spans="1:15 50:64" ht="11.25" customHeight="1">
      <c r="A35" s="1077" t="s">
        <v>1586</v>
      </c>
      <c r="O35" s="1077" t="s">
        <v>1309</v>
      </c>
      <c r="AX35" s="1123" t="s">
        <v>1587</v>
      </c>
      <c r="AZ35" s="1070" t="s">
        <v>1588</v>
      </c>
      <c r="BE35" s="1123">
        <v>2033</v>
      </c>
      <c r="BL35" s="1071" t="s">
        <v>1589</v>
      </c>
    </row>
    <row r="36" spans="1:15 50:64" ht="11.25" customHeight="1">
      <c r="A36" s="1873" t="s">
        <v>1590</v>
      </c>
      <c r="D36" s="1114" t="s">
        <v>1591</v>
      </c>
      <c s="1115" t="s">
        <v>907</v>
      </c>
      <c s="1116" t="str">
        <f>INDEX(E37:E41,MATCH(TEMPLATE_SPHERE,F37:F41,0))</f>
        <v>водоотведения</v>
      </c>
      <c s="1116" t="str">
        <f>INDEX(G37:G41,MATCH(TEMPLATE_SPHERE,F37:F41,0))</f>
        <v>водоотведение</v>
      </c>
      <c r="O36" s="1077" t="s">
        <v>1334</v>
      </c>
      <c r="AX36" s="1123" t="s">
        <v>1592</v>
      </c>
      <c r="AZ36" s="1123" t="s">
        <v>1215</v>
      </c>
      <c r="BE36" s="1123">
        <v>2034</v>
      </c>
      <c r="BL36" s="1071" t="s">
        <v>1593</v>
      </c>
    </row>
    <row r="37" spans="1:15 50:57" ht="11.25" customHeight="1">
      <c r="A37" s="1077" t="s">
        <v>1594</v>
      </c>
      <c r="E37" s="410" t="s">
        <v>1595</v>
      </c>
      <c s="1117" t="s">
        <v>808</v>
      </c>
      <c s="410" t="s">
        <v>1596</v>
      </c>
      <c r="O37" s="1077" t="s">
        <v>1353</v>
      </c>
      <c r="AX37" s="1123" t="s">
        <v>1597</v>
      </c>
      <c r="AZ37" s="1123" t="s">
        <v>1242</v>
      </c>
      <c r="BE37" s="1123">
        <v>2035</v>
      </c>
    </row>
    <row r="38" spans="1:15 50:66" ht="11.25" customHeight="1">
      <c r="A38" s="1077" t="s">
        <v>1598</v>
      </c>
      <c r="E38" s="410" t="s">
        <v>1599</v>
      </c>
      <c s="1118" t="s">
        <v>854</v>
      </c>
      <c s="410" t="s">
        <v>1600</v>
      </c>
      <c r="O38" s="1077" t="s">
        <v>1370</v>
      </c>
      <c r="AX38" s="1123" t="s">
        <v>1601</v>
      </c>
      <c r="AZ38" s="1123" t="s">
        <v>1277</v>
      </c>
      <c r="BE38" s="1123">
        <v>2036</v>
      </c>
      <c r="BH38" s="1070" t="s">
        <v>1602</v>
      </c>
      <c r="BJ38" s="1070" t="s">
        <v>1603</v>
      </c>
      <c r="BL38" s="1070" t="s">
        <v>1604</v>
      </c>
      <c r="BN38" s="1070" t="s">
        <v>1605</v>
      </c>
    </row>
    <row r="39" spans="1:15 50:66" ht="11.25" customHeight="1">
      <c r="A39" s="1077" t="s">
        <v>1606</v>
      </c>
      <c r="E39" s="410" t="s">
        <v>1607</v>
      </c>
      <c s="1118" t="s">
        <v>907</v>
      </c>
      <c s="410" t="s">
        <v>1608</v>
      </c>
      <c r="O39" s="1077" t="s">
        <v>1386</v>
      </c>
      <c r="AX39" s="1123" t="s">
        <v>1609</v>
      </c>
      <c r="AZ39" s="1123" t="s">
        <v>1310</v>
      </c>
      <c r="BE39" s="1123">
        <v>2037</v>
      </c>
      <c r="BH39" s="1071" t="s">
        <v>1610</v>
      </c>
      <c r="BJ39" s="1220" t="s">
        <v>1610</v>
      </c>
      <c r="BL39" s="1220" t="s">
        <v>1610</v>
      </c>
      <c r="BN39" s="1071" t="s">
        <v>1611</v>
      </c>
    </row>
    <row r="40" spans="1:15 50:66" ht="11.25" customHeight="1">
      <c r="A40" s="1077" t="s">
        <v>1612</v>
      </c>
      <c r="E40" s="410" t="s">
        <v>1613</v>
      </c>
      <c s="1118" t="s">
        <v>894</v>
      </c>
      <c s="410" t="s">
        <v>1614</v>
      </c>
      <c r="O40" s="1077" t="s">
        <v>1402</v>
      </c>
      <c r="AX40" s="1123" t="s">
        <v>1615</v>
      </c>
      <c r="BE40" s="1123">
        <v>2038</v>
      </c>
      <c r="BH40" s="1071" t="s">
        <v>1616</v>
      </c>
      <c r="BJ40" s="1220" t="s">
        <v>1027</v>
      </c>
      <c r="BL40" s="1220" t="s">
        <v>1027</v>
      </c>
      <c r="BN40" s="1071" t="s">
        <v>1061</v>
      </c>
    </row>
    <row r="41" spans="1:15 50:66" ht="11.25" customHeight="1">
      <c r="A41" s="1077" t="s">
        <v>1617</v>
      </c>
      <c r="E41" s="410" t="s">
        <v>1618</v>
      </c>
      <c s="1118" t="s">
        <v>1619</v>
      </c>
      <c s="410" t="s">
        <v>1618</v>
      </c>
      <c r="O41" s="1077" t="s">
        <v>1418</v>
      </c>
      <c r="AX41" s="1123" t="s">
        <v>1620</v>
      </c>
      <c r="AZ41" s="1070" t="s">
        <v>1621</v>
      </c>
      <c r="BE41" s="1123">
        <v>2039</v>
      </c>
      <c r="BH41" s="1071" t="s">
        <v>1622</v>
      </c>
      <c r="BJ41" s="1220" t="s">
        <v>1023</v>
      </c>
      <c r="BL41" s="1220" t="s">
        <v>1023</v>
      </c>
      <c r="BN41" s="1071" t="s">
        <v>1048</v>
      </c>
    </row>
    <row r="42" spans="1:1 50:66" ht="11.25" customHeight="1">
      <c r="A42" s="1077" t="s">
        <v>1623</v>
      </c>
      <c r="AX42" s="1123" t="s">
        <v>1624</v>
      </c>
      <c r="AZ42" s="1123" t="s">
        <v>1214</v>
      </c>
      <c r="BE42" s="1123">
        <v>2040</v>
      </c>
      <c r="BH42" s="1071" t="s">
        <v>1045</v>
      </c>
      <c r="BJ42" s="1220" t="s">
        <v>1025</v>
      </c>
      <c r="BL42" s="1220" t="s">
        <v>1025</v>
      </c>
      <c r="BN42" s="1071" t="s">
        <v>1625</v>
      </c>
    </row>
    <row r="43" spans="1:1 50:66" ht="11.25" customHeight="1">
      <c r="A43" s="1077" t="s">
        <v>1626</v>
      </c>
      <c r="AX43" s="1123" t="s">
        <v>1627</v>
      </c>
      <c r="AZ43" s="1123" t="s">
        <v>1240</v>
      </c>
      <c r="BE43" s="1123">
        <v>2041</v>
      </c>
      <c r="BH43" s="1071" t="s">
        <v>1628</v>
      </c>
      <c r="BJ43" s="1220" t="s">
        <v>1622</v>
      </c>
      <c r="BL43" s="1220" t="s">
        <v>1622</v>
      </c>
      <c r="BN43" s="1071" t="s">
        <v>1629</v>
      </c>
    </row>
    <row r="44" spans="1:11 50:66" ht="11.25" customHeight="1">
      <c r="A44" s="1077" t="s">
        <v>1630</v>
      </c>
      <c r="G44" s="1097">
        <f ca="1">YEAR(TODAY())</f>
        <v>2024</v>
      </c>
      <c r="I44" s="802" t="s">
        <v>1631</v>
      </c>
      <c s="1092" t="s">
        <v>1632</v>
      </c>
      <c s="1092" t="s">
        <v>1633</v>
      </c>
      <c r="AX44" s="1123" t="s">
        <v>1634</v>
      </c>
      <c r="AZ44" s="1123" t="s">
        <v>1276</v>
      </c>
      <c r="BE44" s="1123">
        <v>2042</v>
      </c>
      <c r="BH44" s="1071" t="s">
        <v>1635</v>
      </c>
      <c r="BJ44" s="1220" t="s">
        <v>1045</v>
      </c>
      <c r="BL44" s="1220" t="s">
        <v>1045</v>
      </c>
      <c r="BN44" s="1071" t="s">
        <v>1636</v>
      </c>
    </row>
    <row r="45" spans="1:11 50:66" ht="11.25" customHeight="1">
      <c r="A45" s="1077" t="s">
        <v>1637</v>
      </c>
      <c r="D45" s="1114" t="s">
        <v>1638</v>
      </c>
      <c s="1115" t="s">
        <v>1639</v>
      </c>
      <c s="800" t="s">
        <v>1640</v>
      </c>
      <c s="799" t="s">
        <v>1641</v>
      </c>
      <c s="802" t="s">
        <v>1642</v>
      </c>
      <c s="1744">
        <f>INDEX(PeriodIsEmptyList,MATCH(TEMPLATE_GROUP,CodeTemplateList,0),1)</f>
        <v>0</v>
      </c>
      <c s="1747" t="str">
        <f>INDEX(NameTemplatesInTitleList,MATCH(TEMPLATE_GROUP,CodeTemplateList,0),1)</f>
        <v>Информация о наличии (отсутствии) технической возможности подключения к централизованной системе водоотведения, а также о регистрации и ходе реализации заявок о подключении к централизованной системе водоотведения</v>
      </c>
      <c s="1747" t="str">
        <f>"Перечень муниципальных районов и муниципальных образований (территорий "&amp;IF(OR(TEMPLATE_GROUP="P",TEMPLATE_GROUP="R",TEMPLATE_GROUP="Q"),"действия тарифа","оказания услуг")&amp;")"</f>
        <v>Перечень муниципальных районов и муниципальных образований (территорий действия тарифа)</v>
      </c>
      <c r="AX45" s="1123" t="s">
        <v>1643</v>
      </c>
      <c r="AZ45" s="1123" t="s">
        <v>1309</v>
      </c>
      <c r="BE45" s="1123">
        <v>2043</v>
      </c>
      <c r="BH45" s="1071" t="s">
        <v>1644</v>
      </c>
      <c r="BJ45" s="1220" t="s">
        <v>1039</v>
      </c>
      <c r="BL45" s="1220" t="s">
        <v>1039</v>
      </c>
      <c r="BN45" s="1071" t="s">
        <v>1645</v>
      </c>
    </row>
    <row r="46" spans="1:11 50:66" ht="11.25" customHeight="1">
      <c r="A46" s="1077" t="s">
        <v>1646</v>
      </c>
      <c r="E46" s="410" t="s">
        <v>27</v>
      </c>
      <c s="1117" t="s">
        <v>1647</v>
      </c>
      <c s="1119" t="str">
        <f>IFERROR(IF(TITLE_DATE_FIL="","01.01."&amp;CURRENT_YEAR,"01.01."&amp;YEAR(TITLE_DATE_FIL)),"01.01."&amp;CURRENT_YEAR)</f>
        <v>01.01.2024</v>
      </c>
      <c s="1119" t="str">
        <f>IFERROR(IF(TITLE_DATE_FIL="","31.12."&amp;CURRENT_YEAR,"31.12."&amp;YEAR(TITLE_DATE_FIL)),"31.12."&amp;CURRENT_YEAR)</f>
        <v>31.12.2024</v>
      </c>
      <c s="1745">
        <f>IF(TITLE_DATE_FIL="",TRUE,FALSE)</f>
        <v>1</v>
      </c>
      <c s="1748" t="str">
        <f>"Общая информация о регулируемой организации ("&amp;TEMPLATE_SPHERE_RUS&amp;")"</f>
        <v>Общая информация о регулируемой организации (водоотведения)</v>
      </c>
      <c s="1749"/>
      <c r="AX46" s="1123" t="s">
        <v>1648</v>
      </c>
      <c r="AZ46" s="1123" t="s">
        <v>1334</v>
      </c>
      <c r="BE46" s="1123">
        <v>2044</v>
      </c>
      <c r="BH46" s="1071" t="s">
        <v>1048</v>
      </c>
      <c r="BJ46" s="1220" t="s">
        <v>1029</v>
      </c>
      <c r="BL46" s="1220" t="s">
        <v>1029</v>
      </c>
      <c r="BN46" s="1071" t="s">
        <v>1649</v>
      </c>
    </row>
    <row r="47" spans="1:11 50:66" ht="11.25" customHeight="1">
      <c r="A47" s="1077" t="s">
        <v>1650</v>
      </c>
      <c r="E47" s="410" t="s">
        <v>33</v>
      </c>
      <c s="1118" t="s">
        <v>1639</v>
      </c>
      <c s="1119" t="str">
        <f>IFERROR(IF(f_year="","01.01."&amp;CURRENT_YEAR,IF(LEN(f_quart)=0,"01.01."&amp;f_year,IF(f_quart="I квартал","01.01."&amp;f_year,IF(f_quart="II квартал","01.04."&amp;f_year,(IF(f_quart="III квартал","01.07."&amp;f_year,"01.10."&amp;f_year)))))),"01.01."&amp;CURRENT_YEAR)</f>
        <v>01.04.2024</v>
      </c>
      <c s="1119" t="str">
        <f>IFERROR(IF(f_year="","31.12."&amp;CURRENT_YEAR,IF(LEN(f_quart)=0,"31.12."&amp;f_year,IF(f_quart="I квартал","31.03."&amp;f_year,IF(f_quart="II квартал","30.06."&amp;f_year,(IF(f_quart="III квартал","30.09."&amp;f_year,"31.12."&amp;f_year)))))),"31.12."&amp;CURRENT_YEAR)</f>
        <v>30.06.2024</v>
      </c>
      <c s="1746">
        <f>IF(OR(f_year="",f_quart=""),TRUE,FALSE)</f>
        <v>0</v>
      </c>
      <c s="1748" t="str">
        <f>"Информация о наличии (отсутствии) технической возможности подключения к централизованной системе "&amp;TEMPLATE_SPHERE_RUS&amp;", а также о регистрации и ходе реализации заявок о подключении к централизованной системе "&amp;TEMPLATE_SPHERE_RUS</f>
        <v>Информация о наличии (отсутствии) технической возможности подключения к централизованной системе водоотведения, а также о регистрации и ходе реализации заявок о подключении к централизованной системе водоотведения</v>
      </c>
      <c s="1749"/>
      <c r="AX47" s="1123" t="s">
        <v>1651</v>
      </c>
      <c r="AZ47" s="1123" t="s">
        <v>1353</v>
      </c>
      <c r="BE47" s="1123">
        <v>2045</v>
      </c>
      <c r="BH47" s="1071" t="s">
        <v>1625</v>
      </c>
      <c r="BJ47" s="1220" t="s">
        <v>1031</v>
      </c>
      <c r="BL47" s="1220" t="s">
        <v>1031</v>
      </c>
      <c r="BN47" s="1071" t="s">
        <v>1652</v>
      </c>
    </row>
    <row r="48" spans="1:11 50:66" ht="11.25" customHeight="1">
      <c r="A48" s="1077" t="s">
        <v>1653</v>
      </c>
      <c r="E48" s="410" t="s">
        <v>1654</v>
      </c>
      <c s="1118" t="s">
        <v>1655</v>
      </c>
      <c s="1119" t="str">
        <f>IFERROR(IF(f_year="","01.01."&amp;CURRENT_YEAR,"01.01."&amp;f_year),"01.01."&amp;CURRENT_YEAR)</f>
        <v>01.01.2024</v>
      </c>
      <c s="1119" t="str">
        <f>IFERROR(IF(f_year="","31.12."&amp;CURRENT_YEAR,"31.12."&amp;f_year),"31.12."&amp;CURRENT_YEAR)</f>
        <v>31.12.2024</v>
      </c>
      <c s="1745">
        <f>IF(f_year="",TRUE,FALSE)</f>
        <v>0</v>
      </c>
      <c s="1748" t="s">
        <v>1656</v>
      </c>
      <c s="1749"/>
      <c r="AX48" s="1123" t="s">
        <v>1657</v>
      </c>
      <c r="AZ48" s="1123" t="s">
        <v>1370</v>
      </c>
      <c r="BE48" s="1123">
        <v>2046</v>
      </c>
      <c r="BH48" s="1071" t="s">
        <v>1629</v>
      </c>
      <c r="BJ48" s="1220" t="s">
        <v>1033</v>
      </c>
      <c r="BL48" s="1220" t="s">
        <v>1033</v>
      </c>
      <c r="BN48" s="1071" t="s">
        <v>1658</v>
      </c>
    </row>
    <row r="49" spans="1:11 50:64" ht="11.25" customHeight="1">
      <c r="A49" s="1077" t="s">
        <v>1659</v>
      </c>
      <c r="E49" s="410" t="s">
        <v>1660</v>
      </c>
      <c s="1118" t="s">
        <v>1661</v>
      </c>
      <c s="1119" t="str">
        <f>IFERROR(IF(f_year="","01.01."&amp;CURRENT_YEAR,"01.01."&amp;f_year),"01.01."&amp;CURRENT_YEAR)</f>
        <v>01.01.2024</v>
      </c>
      <c s="1119" t="str">
        <f>IFERROR(IF(f_year="","31.12."&amp;CURRENT_YEAR,"31.12."&amp;f_year),"31.12."&amp;CURRENT_YEAR)</f>
        <v>31.12.2024</v>
      </c>
      <c s="1745">
        <f>IF(f_year="",TRUE,FALSE)</f>
        <v>0</v>
      </c>
      <c s="1748" t="str">
        <f>"Информация об условиях, на которых осуществляется поставка товаров (оказание услуг) в сфере "&amp;TEMPLATE_SPHERE_RUS</f>
        <v>Информация об условиях, на которых осуществляется поставка товаров (оказание услуг) в сфере водоотведения</v>
      </c>
      <c s="1749"/>
      <c r="AX49" s="1123" t="s">
        <v>1662</v>
      </c>
      <c r="AZ49" s="1123" t="s">
        <v>1386</v>
      </c>
      <c r="BE49" s="1123">
        <v>2047</v>
      </c>
      <c r="BH49" s="1071" t="s">
        <v>1049</v>
      </c>
      <c r="BJ49" s="1220" t="s">
        <v>1035</v>
      </c>
      <c r="BL49" s="1220" t="s">
        <v>1035</v>
      </c>
    </row>
    <row r="50" spans="1:11 50:64" ht="11.25" customHeight="1">
      <c r="A50" s="1077" t="s">
        <v>1663</v>
      </c>
      <c r="E50" s="410" t="s">
        <v>1664</v>
      </c>
      <c s="1118" t="s">
        <v>1019</v>
      </c>
      <c s="1119" t="str">
        <f>IFERROR(IF(f_year="","01.01."&amp;CURRENT_YEAR,"01.01."&amp;f_year),"01.01."&amp;CURRENT_YEAR)</f>
        <v>01.01.2024</v>
      </c>
      <c s="1119" t="str">
        <f>IFERROR(IF(f_year="","31.12."&amp;CURRENT_YEAR,"31.12."&amp;f_year),"31.12."&amp;CURRENT_YEAR)</f>
        <v>31.12.2024</v>
      </c>
      <c s="1745">
        <f>IF(f_year="",TRUE,FALSE)</f>
        <v>0</v>
      </c>
      <c s="1748" t="str">
        <f>"Информация об инвестиционных программах регулируемой организации в области "&amp;TEMPLATE_SPHERE_RUS</f>
        <v>Информация об инвестиционных программах регулируемой организации в области водоотведения</v>
      </c>
      <c s="1749"/>
      <c r="AX50" s="1123" t="s">
        <v>1665</v>
      </c>
      <c r="AZ50" s="1123" t="s">
        <v>1402</v>
      </c>
      <c r="BE50" s="1123">
        <v>2048</v>
      </c>
      <c r="BH50" s="1071" t="s">
        <v>1636</v>
      </c>
      <c r="BJ50" s="1220" t="s">
        <v>1037</v>
      </c>
      <c r="BL50" s="1220" t="s">
        <v>1037</v>
      </c>
    </row>
    <row r="51" spans="1:11 50:64" ht="11.25" customHeight="1">
      <c r="A51" s="1077" t="s">
        <v>1666</v>
      </c>
      <c r="E51" s="410" t="s">
        <v>1667</v>
      </c>
      <c s="1118" t="s">
        <v>1668</v>
      </c>
      <c s="1119" t="str">
        <f>IFERROR(IF(TITLE_PERIOD_START="","01.01."&amp;CURRENT_YEAR,"01.01."&amp;YEAR(TITLE_PERIOD_START)),"01.01."&amp;CURRENT_YEAR)</f>
        <v>01.01.2024</v>
      </c>
      <c s="1119" t="str">
        <f>IFERROR(IF(TITLE_PERIOD_END="","31.12."&amp;CURRENT_YEAR,"31.12."&amp;YEAR(TITLE_PERIOD_END)),"31.12."&amp;CURRENT_YEAR)</f>
        <v>31.12.2024</v>
      </c>
      <c s="1746">
        <f>IF(OR(TITLE_PERIOD_START="",TITLE_PERIOD_END=""),TRUE,FALSE)</f>
        <v>1</v>
      </c>
      <c s="1748" t="str">
        <f>"Предложение регулируемой организации об установлении тарифов в сфере "&amp;TEMPLATE_SPHERE_RUS&amp;", информация о способах приобретения, стоимости и объемах товаров, необходимых для производства регулируемых товаров и (или) оказания регулируемых услуг"</f>
        <v>Предложение регулируемой организации об установлении тарифов в сфере водоотведения,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s="1749"/>
      <c r="AX51" s="1123" t="s">
        <v>1669</v>
      </c>
      <c r="AZ51" s="1123" t="s">
        <v>1418</v>
      </c>
      <c r="BE51" s="1123">
        <v>2049</v>
      </c>
      <c r="BH51" s="1071" t="s">
        <v>1645</v>
      </c>
      <c r="BJ51" s="1220" t="s">
        <v>1670</v>
      </c>
      <c r="BL51" s="1220" t="s">
        <v>1670</v>
      </c>
    </row>
    <row r="52" spans="1:11 50:64" ht="11.25" customHeight="1">
      <c r="A52" s="1077" t="s">
        <v>1671</v>
      </c>
      <c r="E52" s="410" t="s">
        <v>1672</v>
      </c>
      <c s="1118" t="s">
        <v>1673</v>
      </c>
      <c s="1119" t="str">
        <f>IFERROR(IF(TITLE_PERIOD_START="","01.01."&amp;CURRENT_YEAR,"01.01."&amp;YEAR(TITLE_PERIOD_START)),"01.01."&amp;CURRENT_YEAR)</f>
        <v>01.01.2024</v>
      </c>
      <c s="1119" t="str">
        <f>IFERROR(IF(TITLE_PERIOD_END="","31.12."&amp;CURRENT_YEAR,"31.12."&amp;YEAR(TITLE_PERIOD_END)),"31.12."&amp;CURRENT_YEAR)</f>
        <v>31.12.2024</v>
      </c>
      <c s="1746">
        <f>IF(OR(TITLE_PERIOD_START="",TITLE_PERIOD_END=""),TRUE,FALSE)</f>
        <v>1</v>
      </c>
      <c s="1748" t="str">
        <f>"Показатели, подлежащие раскрытию в сфере "&amp;TEMPLATE_SPHERE_RUS&amp;" (цены и тарифы)"</f>
        <v>Показатели, подлежащие раскрытию в сфере водоотведения (цены и тарифы)</v>
      </c>
      <c s="1749"/>
      <c r="AX52" s="1123" t="s">
        <v>1674</v>
      </c>
      <c r="AZ52" s="1123" t="s">
        <v>1215</v>
      </c>
      <c r="BE52" s="1123">
        <v>2050</v>
      </c>
      <c r="BH52" s="1071" t="s">
        <v>1649</v>
      </c>
      <c r="BJ52" s="1220" t="s">
        <v>1048</v>
      </c>
      <c r="BL52" s="1220" t="s">
        <v>1048</v>
      </c>
    </row>
    <row r="53" spans="1:11 50:64" ht="11.25" customHeight="1">
      <c r="A53" s="1077" t="s">
        <v>1675</v>
      </c>
      <c r="E53" s="410" t="s">
        <v>1676</v>
      </c>
      <c s="1118" t="s">
        <v>1676</v>
      </c>
      <c s="1119" t="str">
        <f>IFERROR(IF(f_year="","01.01."&amp;CURRENT_YEAR,"01.01."&amp;f_year),"01.01."&amp;CURRENT_YEAR)</f>
        <v>01.01.2024</v>
      </c>
      <c s="1119" t="str">
        <f>IFERROR(IF(f_year="","31.12."&amp;CURRENT_YEAR,"31.12."&amp;f_year),"31.12."&amp;CURRENT_YEAR)</f>
        <v>31.12.2024</v>
      </c>
      <c s="1745">
        <f>IF(AND(f_year="",TITLE_DATE_FIL=""),TRUE,FALSE)</f>
        <v>0</v>
      </c>
      <c s="1748" t="s">
        <v>1677</v>
      </c>
      <c s="1749"/>
      <c r="AX53" s="1123" t="s">
        <v>1678</v>
      </c>
      <c r="BE53" s="1123">
        <v>2051</v>
      </c>
      <c r="BH53" s="1071" t="s">
        <v>1652</v>
      </c>
      <c r="BJ53" s="1220" t="s">
        <v>1625</v>
      </c>
      <c r="BL53" s="1220" t="s">
        <v>1625</v>
      </c>
    </row>
    <row r="54" spans="1:1 50:64" ht="11.25" customHeight="1">
      <c r="A54" s="1077" t="s">
        <v>1679</v>
      </c>
      <c r="AX54" s="1123" t="s">
        <v>1680</v>
      </c>
      <c r="AZ54" s="1070" t="s">
        <v>1681</v>
      </c>
      <c r="BE54" s="1123">
        <v>2052</v>
      </c>
      <c r="BH54" s="1071" t="s">
        <v>1658</v>
      </c>
      <c r="BJ54" s="1220" t="s">
        <v>1629</v>
      </c>
      <c r="BL54" s="1220" t="s">
        <v>1629</v>
      </c>
    </row>
    <row r="55" spans="1:1 50:64" ht="11.25" customHeight="1">
      <c r="A55" s="1077" t="s">
        <v>1682</v>
      </c>
      <c r="AX55" s="1123" t="s">
        <v>1683</v>
      </c>
      <c r="AZ55" s="1123" t="s">
        <v>1217</v>
      </c>
      <c r="BE55" s="1123">
        <v>2053</v>
      </c>
      <c r="BH55" s="1073" t="s">
        <v>22</v>
      </c>
      <c r="BJ55" s="1220" t="s">
        <v>1049</v>
      </c>
      <c r="BL55" s="1220" t="s">
        <v>1049</v>
      </c>
    </row>
    <row r="56" spans="1:6 50:64" ht="11.25" customHeight="1">
      <c r="A56" s="1077" t="s">
        <v>1684</v>
      </c>
      <c r="D56" s="1121" t="s">
        <v>1685</v>
      </c>
      <c s="1098" t="s">
        <v>111</v>
      </c>
      <c s="1077" t="s">
        <v>1686</v>
      </c>
      <c r="AX56" s="1123" t="s">
        <v>1687</v>
      </c>
      <c r="AZ56" s="1123" t="s">
        <v>1244</v>
      </c>
      <c r="BE56" s="1123">
        <v>2054</v>
      </c>
      <c r="BH56" s="1073" t="s">
        <v>22</v>
      </c>
      <c r="BJ56" s="1220" t="s">
        <v>1636</v>
      </c>
      <c r="BL56" s="1220" t="s">
        <v>1636</v>
      </c>
    </row>
    <row r="57" spans="1:6 50:64" ht="11.25" customHeight="1">
      <c r="A57" s="1077" t="s">
        <v>1688</v>
      </c>
      <c r="D57" s="1121" t="s">
        <v>1689</v>
      </c>
      <c s="1098" t="s">
        <v>111</v>
      </c>
      <c s="1077" t="s">
        <v>1686</v>
      </c>
      <c r="AX57" s="1123" t="s">
        <v>1690</v>
      </c>
      <c r="AZ57" s="1123" t="s">
        <v>1279</v>
      </c>
      <c r="BE57" s="1123">
        <v>2055</v>
      </c>
      <c r="BJ57" s="1220" t="s">
        <v>1645</v>
      </c>
      <c r="BL57" s="1220" t="s">
        <v>1645</v>
      </c>
    </row>
    <row r="58" spans="1:6 50:64" ht="11.25" customHeight="1">
      <c r="A58" s="1077" t="s">
        <v>1691</v>
      </c>
      <c r="D58" s="1121" t="s">
        <v>1692</v>
      </c>
      <c s="1098" t="s">
        <v>111</v>
      </c>
      <c s="1077" t="s">
        <v>1686</v>
      </c>
      <c r="AX58" s="1123" t="s">
        <v>1693</v>
      </c>
      <c r="BE58" s="1123">
        <v>2056</v>
      </c>
      <c r="BJ58" s="1220" t="s">
        <v>1649</v>
      </c>
      <c r="BL58" s="1220" t="s">
        <v>1649</v>
      </c>
    </row>
    <row r="59" spans="1:6 50:64" ht="11.25" customHeight="1">
      <c r="A59" s="1077" t="s">
        <v>1694</v>
      </c>
      <c r="D59" s="1121" t="s">
        <v>133</v>
      </c>
      <c s="1098" t="s">
        <v>1581</v>
      </c>
      <c s="1077" t="s">
        <v>1695</v>
      </c>
      <c r="AX59" s="1123" t="s">
        <v>1696</v>
      </c>
      <c r="AZ59" s="1070" t="s">
        <v>1697</v>
      </c>
      <c r="BE59" s="1123">
        <v>2057</v>
      </c>
      <c r="BJ59" s="1220" t="s">
        <v>1652</v>
      </c>
      <c r="BL59" s="1220" t="s">
        <v>1652</v>
      </c>
    </row>
    <row r="60" spans="1:6 50:64" ht="11.25" customHeight="1">
      <c r="A60" s="1077" t="s">
        <v>1698</v>
      </c>
      <c r="D60" s="1121" t="s">
        <v>1699</v>
      </c>
      <c s="1098" t="s">
        <v>1581</v>
      </c>
      <c s="1077" t="s">
        <v>1695</v>
      </c>
      <c r="AX60" s="1123" t="s">
        <v>1700</v>
      </c>
      <c r="AZ60" s="1123" t="s">
        <v>1218</v>
      </c>
      <c r="BE60" s="1123">
        <v>2058</v>
      </c>
      <c r="BJ60" s="1220" t="s">
        <v>1658</v>
      </c>
      <c r="BL60" s="1220" t="s">
        <v>1658</v>
      </c>
    </row>
    <row r="61" spans="1:6 50:64" ht="11.25" customHeight="1">
      <c r="A61" s="1077" t="s">
        <v>1701</v>
      </c>
      <c r="D61" s="1121" t="s">
        <v>1702</v>
      </c>
      <c s="1098" t="s">
        <v>1581</v>
      </c>
      <c s="1077" t="s">
        <v>1695</v>
      </c>
      <c r="AX61" s="1123" t="s">
        <v>1703</v>
      </c>
      <c r="AZ61" s="1123" t="s">
        <v>1245</v>
      </c>
      <c r="BE61" s="1123">
        <v>2059</v>
      </c>
      <c r="BL61" s="1220" t="s">
        <v>1041</v>
      </c>
    </row>
    <row r="62" spans="1:6 52:64" ht="11.25" customHeight="1">
      <c r="A62" s="1077" t="s">
        <v>1704</v>
      </c>
      <c r="D62" s="1121" t="s">
        <v>132</v>
      </c>
      <c s="1098">
        <v>30</v>
      </c>
      <c s="1077" t="s">
        <v>1695</v>
      </c>
      <c r="AZ62" s="1123" t="s">
        <v>1280</v>
      </c>
      <c r="BE62" s="1123">
        <v>2060</v>
      </c>
      <c r="BL62" s="1220" t="s">
        <v>1043</v>
      </c>
    </row>
    <row r="63" spans="1:6 52:57" ht="11.25" customHeight="1">
      <c r="A63" s="1077" t="s">
        <v>1705</v>
      </c>
      <c r="D63" s="1121" t="s">
        <v>1706</v>
      </c>
      <c s="1098">
        <v>30</v>
      </c>
      <c s="1077" t="s">
        <v>1695</v>
      </c>
      <c r="AZ63" s="1123" t="s">
        <v>1312</v>
      </c>
      <c r="BE63" s="1123">
        <v>2061</v>
      </c>
    </row>
    <row r="64" spans="1:6 52:57" ht="11.25" customHeight="1">
      <c r="A64" s="1077" t="s">
        <v>1707</v>
      </c>
      <c r="D64" s="1121" t="s">
        <v>1708</v>
      </c>
      <c s="1098">
        <v>30</v>
      </c>
      <c s="1077" t="s">
        <v>1695</v>
      </c>
      <c r="AZ64" s="1123" t="s">
        <v>1335</v>
      </c>
      <c r="BE64" s="1123">
        <v>2062</v>
      </c>
    </row>
    <row r="65" spans="1:4 57:57" ht="11.25" customHeight="1">
      <c r="A65" s="1077" t="s">
        <v>1709</v>
      </c>
      <c r="D65" s="1077"/>
      <c r="BE65" s="1123">
        <v>2063</v>
      </c>
    </row>
    <row r="66" spans="1:1 52:57" ht="11.25" customHeight="1">
      <c r="A66" s="1077" t="s">
        <v>1710</v>
      </c>
      <c r="AZ66" s="1070" t="s">
        <v>1711</v>
      </c>
      <c r="BE66" s="1123">
        <v>2064</v>
      </c>
    </row>
    <row r="67" spans="1:1 52:57" ht="11.25" customHeight="1">
      <c r="A67" s="1077" t="s">
        <v>1712</v>
      </c>
      <c r="AZ67" s="1123" t="s">
        <v>1219</v>
      </c>
      <c r="BE67" s="1123">
        <v>2065</v>
      </c>
    </row>
    <row r="68" spans="1:1 52:66" ht="11.25" customHeight="1">
      <c r="A68" s="1077" t="s">
        <v>1713</v>
      </c>
      <c r="AZ68" s="1123" t="s">
        <v>1246</v>
      </c>
      <c r="BE68" s="1123">
        <v>2066</v>
      </c>
      <c r="BH68" s="1070" t="s">
        <v>1714</v>
      </c>
      <c r="BJ68" s="1070" t="s">
        <v>1715</v>
      </c>
      <c r="BL68" s="1070" t="s">
        <v>1716</v>
      </c>
      <c r="BN68" s="1070" t="s">
        <v>1717</v>
      </c>
    </row>
    <row r="69" spans="1:1 52:66" ht="11.25" customHeight="1">
      <c r="A69" s="1077" t="s">
        <v>1718</v>
      </c>
      <c r="AZ69" s="1123" t="s">
        <v>1281</v>
      </c>
      <c r="BE69" s="1123">
        <v>2067</v>
      </c>
      <c r="BH69" s="1071" t="s">
        <v>1719</v>
      </c>
      <c s="1120" t="s">
        <v>109</v>
      </c>
      <c s="1071" t="s">
        <v>1720</v>
      </c>
      <c s="1120" t="s">
        <v>109</v>
      </c>
      <c s="1071" t="s">
        <v>1721</v>
      </c>
      <c s="1073" t="s">
        <v>109</v>
      </c>
      <c s="1071" t="s">
        <v>1722</v>
      </c>
    </row>
    <row r="70" spans="1:1 52:66" ht="11.25" customHeight="1">
      <c r="A70" s="1077" t="s">
        <v>1723</v>
      </c>
      <c r="AZ70" s="1123" t="s">
        <v>1313</v>
      </c>
      <c r="BE70" s="1123">
        <v>2068</v>
      </c>
      <c r="BH70" s="1071" t="s">
        <v>1724</v>
      </c>
      <c r="BJ70" s="1071" t="s">
        <v>1725</v>
      </c>
      <c r="BL70" s="1071" t="s">
        <v>1726</v>
      </c>
      <c r="BN70" s="1071" t="s">
        <v>1727</v>
      </c>
    </row>
    <row r="71" spans="1:1 52:66" ht="11.25" customHeight="1">
      <c r="A71" s="1077" t="s">
        <v>1728</v>
      </c>
      <c r="AZ71" s="1123" t="s">
        <v>1315</v>
      </c>
      <c r="BE71" s="1123">
        <v>2069</v>
      </c>
      <c r="BH71" s="1071" t="s">
        <v>1729</v>
      </c>
      <c s="1120" t="s">
        <v>89</v>
      </c>
      <c s="1071" t="s">
        <v>1730</v>
      </c>
      <c s="1120" t="s">
        <v>89</v>
      </c>
      <c s="1071" t="s">
        <v>1731</v>
      </c>
      <c s="1073" t="s">
        <v>89</v>
      </c>
      <c s="1071" t="s">
        <v>1732</v>
      </c>
    </row>
    <row r="72" spans="1:1 52:66" ht="11.25" customHeight="1">
      <c r="A72" s="1077" t="s">
        <v>1733</v>
      </c>
      <c r="AZ72" s="1123" t="s">
        <v>19</v>
      </c>
      <c r="BE72" s="1123">
        <v>2070</v>
      </c>
      <c r="BH72" s="1071" t="s">
        <v>1734</v>
      </c>
      <c r="BJ72" s="1071" t="s">
        <v>1734</v>
      </c>
      <c r="BL72" s="1071" t="s">
        <v>1734</v>
      </c>
      <c r="BN72" s="1071" t="s">
        <v>1735</v>
      </c>
    </row>
    <row r="73" spans="1:1 60:66" ht="11.25" customHeight="1">
      <c r="A73" s="1077" t="s">
        <v>1736</v>
      </c>
      <c r="BH73" s="1071" t="s">
        <v>1737</v>
      </c>
      <c s="1120" t="s">
        <v>111</v>
      </c>
      <c s="1071" t="s">
        <v>1738</v>
      </c>
      <c s="1120" t="s">
        <v>111</v>
      </c>
      <c s="1071" t="s">
        <v>1739</v>
      </c>
      <c s="1073" t="s">
        <v>111</v>
      </c>
      <c s="1071" t="s">
        <v>1740</v>
      </c>
    </row>
    <row r="74" spans="1:1 60:66" ht="11.25" customHeight="1">
      <c r="A74" s="1077" t="s">
        <v>1741</v>
      </c>
      <c r="BH74" s="1071" t="s">
        <v>1742</v>
      </c>
      <c r="BJ74" s="1071" t="s">
        <v>1743</v>
      </c>
      <c r="BL74" s="1071" t="s">
        <v>1744</v>
      </c>
      <c r="BN74" s="1071" t="s">
        <v>1745</v>
      </c>
    </row>
    <row r="75" spans="1:1 52:64" ht="11.25" customHeight="1">
      <c r="A75" s="1077" t="s">
        <v>1746</v>
      </c>
      <c r="AZ75" s="1070" t="s">
        <v>1747</v>
      </c>
      <c r="BH75" s="1071" t="s">
        <v>1748</v>
      </c>
      <c r="BJ75" s="1071" t="s">
        <v>1748</v>
      </c>
      <c r="BL75" s="1071" t="s">
        <v>1748</v>
      </c>
    </row>
    <row r="76" spans="1:1 52:64" ht="11.25" customHeight="1">
      <c r="A76" s="1077" t="s">
        <v>1749</v>
      </c>
      <c r="AZ76" s="1123" t="s">
        <v>1228</v>
      </c>
      <c r="BH76" s="1071" t="s">
        <v>1750</v>
      </c>
      <c r="BJ76" s="1071" t="s">
        <v>1751</v>
      </c>
      <c r="BL76" s="1071" t="s">
        <v>1752</v>
      </c>
    </row>
    <row r="77" spans="1:1 52:52" ht="11.25" customHeight="1">
      <c r="A77" s="1077" t="s">
        <v>1753</v>
      </c>
      <c r="AZ77" s="1123" t="s">
        <v>1256</v>
      </c>
    </row>
    <row r="78" spans="1:1 52:52" ht="11.25" customHeight="1">
      <c r="A78" s="1077" t="s">
        <v>1754</v>
      </c>
      <c r="AZ78" s="1123" t="s">
        <v>1288</v>
      </c>
    </row>
    <row r="79" spans="1:1 52:64" ht="11.25" customHeight="1">
      <c r="A79" s="1077" t="s">
        <v>1755</v>
      </c>
      <c r="AZ79" s="1123" t="s">
        <v>1319</v>
      </c>
      <c r="BH79" s="1070" t="s">
        <v>1756</v>
      </c>
      <c r="BJ79" s="1070" t="s">
        <v>1757</v>
      </c>
      <c r="BL79" s="1070" t="s">
        <v>1758</v>
      </c>
    </row>
    <row r="80" spans="1:1 52:64" ht="11.25" customHeight="1">
      <c r="A80" s="1077" t="s">
        <v>1759</v>
      </c>
      <c r="AZ80" s="1123" t="s">
        <v>1340</v>
      </c>
      <c r="BH80" s="1071" t="s">
        <v>1760</v>
      </c>
      <c r="BJ80" s="1071" t="s">
        <v>1761</v>
      </c>
      <c r="BL80" s="1071" t="s">
        <v>1762</v>
      </c>
    </row>
    <row r="81" spans="1:1 52:64" ht="11.25" customHeight="1">
      <c r="A81" s="1077" t="s">
        <v>1763</v>
      </c>
      <c r="AZ81" s="1123" t="s">
        <v>1357</v>
      </c>
      <c r="BH81" s="1071" t="s">
        <v>1764</v>
      </c>
      <c r="BJ81" s="1071" t="s">
        <v>1765</v>
      </c>
      <c r="BL81" s="1071" t="s">
        <v>1766</v>
      </c>
    </row>
    <row r="82" spans="1:1 52:64" ht="11.25" customHeight="1">
      <c r="A82" s="1077" t="s">
        <v>1767</v>
      </c>
      <c r="AZ82" s="1123" t="s">
        <v>1372</v>
      </c>
      <c r="BH82" s="1071" t="s">
        <v>1768</v>
      </c>
      <c r="BJ82" s="1071" t="s">
        <v>1769</v>
      </c>
      <c r="BL82" s="1071" t="s">
        <v>1770</v>
      </c>
    </row>
    <row r="83" spans="1:1 60:64" ht="11.25" customHeight="1">
      <c r="A83" s="1077" t="s">
        <v>1771</v>
      </c>
      <c r="BH83" s="1071" t="s">
        <v>1772</v>
      </c>
      <c r="BJ83" s="1071" t="s">
        <v>1773</v>
      </c>
      <c r="BL83" s="1071" t="s">
        <v>1774</v>
      </c>
    </row>
    <row r="84" spans="1:1 52:52" ht="11.25" customHeight="1">
      <c r="A84" s="1077" t="s">
        <v>1775</v>
      </c>
      <c r="AZ84" s="1070" t="s">
        <v>1776</v>
      </c>
    </row>
    <row r="85" spans="1:1 52:52" ht="11.25" customHeight="1">
      <c r="A85" s="1873" t="s">
        <v>1777</v>
      </c>
      <c r="AZ85" s="1123" t="s">
        <v>1778</v>
      </c>
    </row>
    <row r="86" spans="1:1 52:64" ht="11.25" customHeight="1">
      <c r="A86" s="1077" t="s">
        <v>1779</v>
      </c>
      <c r="AZ86" s="1123" t="s">
        <v>1780</v>
      </c>
      <c r="BH86" s="1070" t="s">
        <v>1781</v>
      </c>
      <c r="BJ86" s="1070" t="s">
        <v>1782</v>
      </c>
      <c r="BL86" s="1070" t="s">
        <v>1783</v>
      </c>
    </row>
    <row r="87" spans="1:1 52:64" ht="11.25" customHeight="1">
      <c r="A87" s="1077" t="s">
        <v>1784</v>
      </c>
      <c r="AZ87" s="1123" t="s">
        <v>1785</v>
      </c>
      <c r="BH87" s="1071" t="s">
        <v>1786</v>
      </c>
      <c r="BJ87" s="1071" t="s">
        <v>1787</v>
      </c>
      <c r="BL87" s="1071" t="s">
        <v>1788</v>
      </c>
    </row>
    <row r="88" spans="1:1 52:64" ht="11.25" customHeight="1">
      <c r="A88" s="1077" t="s">
        <v>1789</v>
      </c>
      <c r="AZ88" s="1609"/>
      <c r="BH88" s="1071" t="s">
        <v>1790</v>
      </c>
      <c r="BJ88" s="1071" t="s">
        <v>1791</v>
      </c>
      <c r="BL88" s="1071" t="s">
        <v>1792</v>
      </c>
    </row>
    <row r="89" spans="1:1 52:52" ht="11.25" customHeight="1">
      <c r="A89" s="1077" t="s">
        <v>1793</v>
      </c>
      <c r="AZ89" s="1070" t="s">
        <v>1794</v>
      </c>
    </row>
    <row r="90" spans="1:1 52:52" ht="11.25" customHeight="1">
      <c r="A90" s="1077" t="s">
        <v>1795</v>
      </c>
      <c r="AZ90" s="1123" t="s">
        <v>1019</v>
      </c>
    </row>
    <row r="91" spans="1:1 52:64" ht="11.25" customHeight="1">
      <c r="A91" s="1077" t="s">
        <v>1796</v>
      </c>
      <c r="AZ91" s="1123" t="s">
        <v>1055</v>
      </c>
      <c r="BH91" s="1070" t="s">
        <v>1797</v>
      </c>
      <c r="BJ91" s="1070" t="s">
        <v>1798</v>
      </c>
      <c r="BL91" s="1070" t="s">
        <v>1799</v>
      </c>
    </row>
    <row r="92" spans="52:64" ht="11.25" customHeight="1">
      <c r="AZ92" s="1123" t="s">
        <v>1800</v>
      </c>
      <c r="BH92" s="1071" t="s">
        <v>1801</v>
      </c>
      <c r="BJ92" s="1071" t="s">
        <v>1802</v>
      </c>
      <c r="BL92" s="1071" t="s">
        <v>1803</v>
      </c>
    </row>
    <row r="93" spans="52:64" ht="11.25" customHeight="1">
      <c r="AZ93" s="1123" t="s">
        <v>1804</v>
      </c>
      <c r="BH93" s="1071" t="s">
        <v>1805</v>
      </c>
      <c r="BJ93" s="1071" t="s">
        <v>1806</v>
      </c>
      <c r="BL93" s="1071" t="s">
        <v>1807</v>
      </c>
    </row>
    <row r="94" spans="52:52" ht="11.25" customHeight="1">
      <c r="AZ94" s="1123" t="s">
        <v>1808</v>
      </c>
    </row>
    <row r="96" spans="52:66" ht="11.25" customHeight="1">
      <c r="AZ96" s="1070" t="s">
        <v>1809</v>
      </c>
      <c r="BH96" s="1070" t="s">
        <v>1810</v>
      </c>
      <c r="BJ96" s="1070" t="s">
        <v>1811</v>
      </c>
      <c r="BL96" s="1070" t="s">
        <v>1812</v>
      </c>
      <c r="BN96" s="1070" t="s">
        <v>1813</v>
      </c>
    </row>
    <row r="97" spans="52:66" ht="11.25" customHeight="1">
      <c r="AZ97" s="1904" t="s">
        <v>1814</v>
      </c>
      <c s="1905" t="s">
        <v>1815</v>
      </c>
      <c r="BH97" s="1071" t="s">
        <v>1816</v>
      </c>
      <c r="BJ97" s="1071" t="s">
        <v>1817</v>
      </c>
      <c r="BL97" s="1071" t="s">
        <v>1818</v>
      </c>
      <c r="BN97" s="1071" t="s">
        <v>1819</v>
      </c>
    </row>
    <row r="98" spans="52:66" ht="11.25" customHeight="1">
      <c r="AZ98" s="1904" t="s">
        <v>1820</v>
      </c>
      <c s="1905" t="s">
        <v>1821</v>
      </c>
      <c r="BH98" s="1071" t="s">
        <v>1822</v>
      </c>
      <c r="BJ98" s="1071" t="s">
        <v>1823</v>
      </c>
      <c r="BL98" s="1071" t="s">
        <v>1824</v>
      </c>
      <c r="BN98" s="1071" t="s">
        <v>1825</v>
      </c>
    </row>
    <row r="99" spans="52:66" ht="22.5" customHeight="1">
      <c r="AZ99" s="1904" t="s">
        <v>1826</v>
      </c>
      <c s="1905" t="str">
        <f>"не позднее чем за "&amp;IF(TEMPLATE_SPHERE="TKO","3","10")&amp;" дней до дня проведения заседания правления"</f>
        <v>не позднее чем за 10 дней до дня проведения заседания правления</v>
      </c>
      <c r="BH99" s="1071" t="s">
        <v>1827</v>
      </c>
      <c r="BJ99" s="1071" t="s">
        <v>1828</v>
      </c>
      <c r="BL99" s="1071" t="s">
        <v>1829</v>
      </c>
      <c r="BN99" s="1071" t="s">
        <v>1830</v>
      </c>
    </row>
    <row r="100" spans="52:66" ht="22.5" customHeight="1">
      <c r="AZ100" s="1904" t="s">
        <v>1831</v>
      </c>
      <c s="1905"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J100" s="1071" t="s">
        <v>1418</v>
      </c>
      <c r="BL100" s="1071" t="s">
        <v>1418</v>
      </c>
      <c r="BN100" s="1071" t="s">
        <v>1832</v>
      </c>
    </row>
    <row r="101" spans="52:66" ht="22.5" customHeight="1">
      <c r="AZ101" s="1904" t="s">
        <v>1833</v>
      </c>
      <c s="1905" t="s">
        <v>1834</v>
      </c>
      <c r="BN101" s="1071" t="s">
        <v>1835</v>
      </c>
    </row>
    <row r="102" spans="52:66" ht="22.5" customHeight="1">
      <c r="AZ102" s="1904" t="s">
        <v>1836</v>
      </c>
      <c s="1905"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N102" s="1071" t="s">
        <v>1837</v>
      </c>
    </row>
    <row r="103" spans="52:66" ht="11.25" customHeight="1">
      <c r="AZ103" s="1904" t="s">
        <v>1838</v>
      </c>
      <c s="1905" t="s">
        <v>1839</v>
      </c>
      <c r="BN103" s="1071" t="s">
        <v>1840</v>
      </c>
    </row>
    <row r="104" spans="66:66" ht="11.25" customHeight="1">
      <c r="BN104" s="1071" t="s">
        <v>1841</v>
      </c>
    </row>
    <row r="105" spans="52:52" ht="11.25" customHeight="1">
      <c r="AZ105" s="1695" t="s">
        <v>1842</v>
      </c>
    </row>
    <row r="106" spans="52:52" ht="11.25" customHeight="1">
      <c r="AZ106" s="1123" t="s">
        <v>1843</v>
      </c>
    </row>
    <row r="107" spans="52:66" ht="11.25" customHeight="1">
      <c r="AZ107" s="1123" t="s">
        <v>1844</v>
      </c>
      <c r="BH107" s="1070" t="s">
        <v>1845</v>
      </c>
      <c r="BJ107" s="1070" t="s">
        <v>1846</v>
      </c>
      <c r="BL107" s="1070" t="s">
        <v>1847</v>
      </c>
      <c r="BN107" s="1070" t="s">
        <v>1848</v>
      </c>
    </row>
    <row r="108" spans="52:66" ht="11.25" customHeight="1">
      <c r="AZ108" s="1123" t="s">
        <v>571</v>
      </c>
      <c r="BH108" s="1071" t="s">
        <v>1849</v>
      </c>
      <c r="BJ108" s="1071" t="s">
        <v>1850</v>
      </c>
      <c r="BL108" s="1071" t="s">
        <v>1504</v>
      </c>
      <c r="BN108" s="1071" t="s">
        <v>1851</v>
      </c>
    </row>
    <row r="109" spans="60:60" ht="11.25" customHeight="1">
      <c r="BH109" s="1071" t="s">
        <v>1852</v>
      </c>
    </row>
    <row r="110" spans="52:60" ht="11.25" customHeight="1">
      <c r="AZ110" s="1695" t="s">
        <v>1853</v>
      </c>
      <c r="BH110" s="1071" t="s">
        <v>1852</v>
      </c>
    </row>
    <row r="111" spans="52:53" ht="11.25" customHeight="1">
      <c r="AZ111" s="1904" t="s">
        <v>1814</v>
      </c>
      <c s="1905" t="s">
        <v>1815</v>
      </c>
    </row>
    <row r="112" spans="52:53" ht="11.25" customHeight="1">
      <c r="AZ112" s="1904" t="s">
        <v>1820</v>
      </c>
      <c s="1905" t="s">
        <v>1821</v>
      </c>
    </row>
    <row r="113" spans="52:53" ht="22.5" customHeight="1">
      <c r="AZ113" s="1904" t="s">
        <v>1826</v>
      </c>
      <c s="1905" t="str">
        <f>"не позднее чем за "&amp;IF(TEMPLATE_SPHERE="TKO","3","10")&amp;" дней до дня проведения заседания правления"</f>
        <v>не позднее чем за 10 дней до дня проведения заседания правления</v>
      </c>
    </row>
    <row r="114" spans="52:60" ht="22.5" customHeight="1">
      <c r="AZ114" s="1904" t="s">
        <v>1831</v>
      </c>
      <c s="1905"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H114" s="1070" t="s">
        <v>1854</v>
      </c>
    </row>
    <row r="115" spans="52:60" ht="22.5" customHeight="1">
      <c r="AZ115" s="1904" t="s">
        <v>1836</v>
      </c>
      <c s="1905"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H115" s="1071" t="s">
        <v>1215</v>
      </c>
    </row>
    <row r="116" spans="52:60" ht="11.25" customHeight="1">
      <c r="AZ116" s="1904" t="s">
        <v>1838</v>
      </c>
      <c s="1905" t="s">
        <v>1839</v>
      </c>
      <c r="BH116" s="1071" t="s">
        <v>1242</v>
      </c>
    </row>
    <row r="117" spans="60:60" ht="11.25" customHeight="1">
      <c r="BH117" s="1071" t="s">
        <v>1277</v>
      </c>
    </row>
    <row r="118" spans="60:60" ht="11.25" customHeight="1">
      <c r="BH118" s="1071" t="s">
        <v>1310</v>
      </c>
    </row>
  </sheetData>
  <sheetProtection formatColumns="0" formatRows="0" insertRows="0" deleteColumns="0" deleteRows="0" sort="0" autoFilter="0"/>
  <pageMargins left="0.75" right="0.75" top="1" bottom="1" header="0.5" footer="0.5"/>
  <pageSetup orientation="portrait" paperSize="9"/>
  <legacyDrawing r:id="rId2"/>
</worksheet>
</file>

<file path=xl/worksheets/sheet5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m="http://schemas.microsoft.com/office/excel/2006/main" xmlns:x14ac="http://schemas.microsoft.com/office/spreadsheetml/2009/9/ac" xmlns:xr="http://schemas.microsoft.com/office/spreadsheetml/2014/revision" xmlns:xr2="http://schemas.microsoft.com/office/spreadsheetml/2015/revision2" xmlns:xr3="http://schemas.microsoft.com/office/spreadsheetml/2016/revision3" xr:uid="{0898277D-CBC3-CCE2-6A1C-112F53FAAB0F}" mc:Ignorable="x14ac xr xr2 xr3">
  <dimension ref="A1:J25"/>
  <sheetViews>
    <sheetView showGridLines="0" zoomScale="90" zoomScaleNormal="90" workbookViewId="0" topLeftCell="A1">
      <pane xSplit="5" ySplit="11" topLeftCell="F12" activePane="bottomRight" state="frozen"/>
      <selection pane="topLeft" activeCell="A1" sqref="A1"/>
      <selection pane="bottomLeft" activeCell="A12" sqref="A12"/>
      <selection pane="topRight" activeCell="F1" sqref="F1"/>
      <selection pane="bottomRight" activeCell="A1" sqref="A1"/>
    </sheetView>
  </sheetViews>
  <sheetFormatPr defaultColWidth="9.14428571428571" defaultRowHeight="11.25" customHeight="1"/>
  <cols>
    <col min="1" max="2" width="15" style="504" hidden="1" customWidth="1"/>
    <col min="3" max="3" width="3" style="458" customWidth="1"/>
    <col min="4" max="4" width="6" style="459" customWidth="1"/>
    <col min="5" max="5" width="52" style="458" customWidth="1"/>
    <col min="6" max="6" width="48" style="458" customWidth="1"/>
    <col min="7" max="7" width="93" style="458" customWidth="1"/>
    <col min="8" max="8" width="8" style="458" customWidth="1"/>
    <col min="9" max="9" width="64" style="458" customWidth="1"/>
    <col min="10" max="10" width="9.14285714285714" style="458" hidden="1"/>
  </cols>
  <sheetData>
    <row r="1" spans="1:10" ht="11.25" customHeight="1" hidden="1">
      <c r="A1" s="504" t="s">
        <v>299</v>
      </c>
      <c r="J1" s="458" t="s">
        <v>14</v>
      </c>
    </row>
    <row r="2" spans="1:10" ht="22.5" customHeight="1" hidden="1">
      <c r="A2" s="505"/>
      <c s="505"/>
      <c s="1733" t="s">
        <v>689</v>
      </c>
      <c s="1523"/>
      <c s="1529"/>
      <c s="1552"/>
      <c r="H2" s="478"/>
      <c r="J2" s="458">
        <v>0</v>
      </c>
    </row>
    <row r="3" spans="10:10" ht="11.25" customHeight="1" hidden="1">
      <c r="J3" s="458">
        <v>0</v>
      </c>
    </row>
    <row r="4" spans="1:10" ht="11.55" customHeight="1">
      <c r="A4" s="1553"/>
      <c s="1553"/>
      <c r="J4" s="458">
        <v>11</v>
      </c>
    </row>
    <row r="5" spans="4:10" ht="27.3" customHeight="1">
      <c r="D5" s="2241" t="str">
        <f>"Форма "&amp;IF(TEMPLATE_SPHERE="HEAT","2","1")&amp;". Информация об органе регулирования тарифов в сфере "&amp;IF(OR(TEMPLATE_SPHERE="HEAT",TEMPLATE_SPHERE="TKO"),TEMPLATE_SPHERE_RUS,"водоснабжения и водоотведения")&amp;" (далее – орган регулирования тарифов)"</f>
        <v>Форма 1. Информация об органе регулирования тарифов в сфере водоснабжения и водоотведения (далее – орган регулирования тарифов)</v>
      </c>
      <c s="2242"/>
      <c s="2243"/>
      <c r="I5" s="718"/>
      <c s="458">
        <v>26</v>
      </c>
    </row>
    <row r="6" spans="4:10" ht="18" customHeight="1">
      <c r="D6" s="2179" t="str">
        <f>IF(region_name=0,"Не определено",region_name)</f>
        <v>Краснодарский край</v>
      </c>
      <c s="2179"/>
      <c s="2179"/>
      <c r="I6" s="718"/>
      <c s="458">
        <v>17</v>
      </c>
    </row>
    <row r="7" spans="1:10" s="480" customFormat="1" ht="11.55" customHeight="1">
      <c r="A7" s="504"/>
      <c s="504"/>
      <c r="D7" s="717"/>
      <c s="717"/>
      <c s="755"/>
      <c s="717"/>
      <c r="J7" s="480">
        <v>11</v>
      </c>
    </row>
    <row r="8" spans="1:10" ht="11.25" customHeight="1" hidden="1">
      <c r="A8" s="505"/>
      <c s="505"/>
      <c s="460"/>
      <c s="466"/>
      <c s="2210"/>
      <c s="2210"/>
      <c r="J8" s="458">
        <v>0</v>
      </c>
    </row>
    <row r="9" spans="1:10" ht="11.55" customHeight="1">
      <c r="A9" s="505"/>
      <c s="505"/>
      <c s="460"/>
      <c s="2207" t="s">
        <v>300</v>
      </c>
      <c s="2208"/>
      <c s="2208"/>
      <c s="2211" t="s">
        <v>301</v>
      </c>
      <c r="J9" s="458">
        <v>11</v>
      </c>
    </row>
    <row r="10" spans="1:10" ht="11.55" customHeight="1">
      <c r="A10" s="505"/>
      <c s="505"/>
      <c s="460"/>
      <c s="1477" t="s">
        <v>87</v>
      </c>
      <c s="1479" t="s">
        <v>302</v>
      </c>
      <c s="1479" t="s">
        <v>303</v>
      </c>
      <c s="2212"/>
      <c r="J10" s="458">
        <v>11</v>
      </c>
    </row>
    <row r="11" spans="1:10" ht="1.05" customHeight="1">
      <c r="A11" s="505"/>
      <c s="505"/>
      <c s="460"/>
      <c s="467"/>
      <c s="467"/>
      <c s="467"/>
      <c s="467"/>
      <c r="J11" s="458">
        <v>1</v>
      </c>
    </row>
    <row r="12" spans="1:10" ht="24" customHeight="1">
      <c r="A12" s="505"/>
      <c s="505"/>
      <c s="460"/>
      <c s="1523">
        <v>1</v>
      </c>
      <c s="477" t="str">
        <f>"Наименование "&amp;IF(TEMPLATE_SPHERE="TKO","регионального органа","органа "&amp;IF(TEMPLATE_SPHERE="HEAT","тарифного ",""))&amp;"регулирования "&amp;IF(TEMPLATE_SPHERE="TKO","(орган местного самоуправления)",IF(TEMPLATE_SPHERE="HEAT","","тарифов"))</f>
        <v>Наименование органа регулирования тарифов</v>
      </c>
      <c s="1911" t="str">
        <f>IF(org="","",org)</f>
        <v>ГУП КК "Кубаньводкомплекс"</v>
      </c>
      <c s="477" t="str">
        <f>"Указывается в соответствии с нормативным правовым актом, на основании которого "&amp;IF(TEMPLATE_SPHERE="TKO","региональный орган","орган "&amp;IF(TEMPLATE_SPHERE="HEAT","тарифного ",""))&amp;" регулирования "&amp;IF(TEMPLATE_SPHERE="TKO","(орган местного самоуправления)",IF(TEMPLATE_SPHERE="HEAT","","тарифов"))&amp;" образован."</f>
        <v>Указывается в соответствии с нормативным правовым актом, на основании которого орган  регулирования тарифов образован.</v>
      </c>
      <c s="1536"/>
      <c r="J12" s="458">
        <v>23</v>
      </c>
    </row>
    <row r="13" spans="1:10" ht="19.95" customHeight="1">
      <c r="A13" s="505"/>
      <c s="505"/>
      <c s="460"/>
      <c s="1523">
        <v>2</v>
      </c>
      <c s="1530" t="s">
        <v>1855</v>
      </c>
      <c s="1524" t="s">
        <v>306</v>
      </c>
      <c s="477"/>
      <c s="1536"/>
      <c r="J13" s="458">
        <v>19</v>
      </c>
    </row>
    <row r="14" spans="1:10" ht="19.95" customHeight="1">
      <c r="A14" s="505"/>
      <c s="505"/>
      <c s="460"/>
      <c s="1526" t="s">
        <v>709</v>
      </c>
      <c s="1527" t="s">
        <v>1856</v>
      </c>
      <c s="1529"/>
      <c s="1528" t="s">
        <v>1857</v>
      </c>
      <c s="1536"/>
      <c r="J14" s="458">
        <v>19</v>
      </c>
    </row>
    <row r="15" spans="1:10" ht="19.95" customHeight="1">
      <c r="A15" s="505"/>
      <c s="505"/>
      <c s="460"/>
      <c s="1526" t="s">
        <v>307</v>
      </c>
      <c s="1527" t="s">
        <v>1858</v>
      </c>
      <c s="1529"/>
      <c s="1528" t="s">
        <v>1859</v>
      </c>
      <c s="1536"/>
      <c r="J15" s="458">
        <v>19</v>
      </c>
    </row>
    <row r="16" spans="1:10" ht="24" customHeight="1">
      <c r="A16" s="505"/>
      <c s="505"/>
      <c s="460"/>
      <c s="1526" t="s">
        <v>310</v>
      </c>
      <c s="1525" t="s">
        <v>1860</v>
      </c>
      <c s="1534"/>
      <c s="477" t="s">
        <v>1861</v>
      </c>
      <c s="1536"/>
      <c r="J16" s="458">
        <v>23</v>
      </c>
    </row>
    <row r="17" spans="1:10" ht="48.3" customHeight="1">
      <c r="A17" s="505"/>
      <c s="505"/>
      <c s="460"/>
      <c s="1523">
        <v>3</v>
      </c>
      <c s="1530" t="s">
        <v>1862</v>
      </c>
      <c s="1529"/>
      <c s="477" t="s">
        <v>1863</v>
      </c>
      <c s="1536"/>
      <c r="J17" s="458">
        <v>46</v>
      </c>
    </row>
    <row r="18" spans="1:10" ht="48.3" customHeight="1">
      <c r="A18" s="1478">
        <v>1</v>
      </c>
      <c s="505"/>
      <c s="1480"/>
      <c s="1523" t="s">
        <v>90</v>
      </c>
      <c s="1530" t="s">
        <v>1864</v>
      </c>
      <c s="1529"/>
      <c s="477" t="s">
        <v>1863</v>
      </c>
      <c s="1536"/>
      <c s="855"/>
      <c s="458">
        <v>46</v>
      </c>
    </row>
    <row r="19" spans="1:10" ht="23.25" customHeight="1">
      <c r="A19" s="505"/>
      <c s="505"/>
      <c s="460"/>
      <c s="1523" t="s">
        <v>111</v>
      </c>
      <c s="1530" t="s">
        <v>1865</v>
      </c>
      <c s="1524" t="s">
        <v>306</v>
      </c>
      <c s="2474" t="s">
        <v>1866</v>
      </c>
      <c s="478"/>
      <c r="J19" s="458">
        <v>22</v>
      </c>
    </row>
    <row r="20" spans="1:10" s="1533" customFormat="1" ht="5.25" customHeight="1" hidden="1">
      <c r="A20" s="505"/>
      <c s="505"/>
      <c s="1532"/>
      <c s="1531" t="s">
        <v>1117</v>
      </c>
      <c s="1017"/>
      <c s="1016"/>
      <c s="2475"/>
      <c r="J20" s="1533">
        <v>0</v>
      </c>
    </row>
    <row r="21" spans="1:10" ht="15.75" customHeight="1">
      <c r="A21" s="505"/>
      <c s="505"/>
      <c s="460"/>
      <c s="470"/>
      <c s="418" t="s">
        <v>339</v>
      </c>
      <c s="472"/>
      <c s="2476"/>
      <c s="1536"/>
      <c r="J21" s="458">
        <v>15</v>
      </c>
    </row>
    <row r="22" spans="1:10" s="504" customFormat="1" ht="26.25" customHeight="1">
      <c r="A22" s="505"/>
      <c s="505"/>
      <c s="505"/>
      <c s="1523" t="s">
        <v>91</v>
      </c>
      <c s="477" t="s">
        <v>1867</v>
      </c>
      <c s="1529"/>
      <c s="477" t="s">
        <v>1868</v>
      </c>
      <c s="1535"/>
      <c r="J22" s="504">
        <v>25</v>
      </c>
    </row>
    <row r="23" spans="1:10" s="504" customFormat="1" ht="19.95" customHeight="1">
      <c r="A23" s="505"/>
      <c s="505"/>
      <c s="505"/>
      <c s="1523" t="s">
        <v>92</v>
      </c>
      <c s="1530" t="s">
        <v>1869</v>
      </c>
      <c s="1534"/>
      <c s="477" t="s">
        <v>1870</v>
      </c>
      <c s="1535"/>
      <c r="J23" s="504">
        <v>19</v>
      </c>
    </row>
    <row r="24" spans="1:10" s="504" customFormat="1" ht="144" customHeight="1" hidden="1">
      <c r="A24" s="505"/>
      <c s="505"/>
      <c s="505"/>
      <c s="1523" t="s">
        <v>112</v>
      </c>
      <c s="1900" t="str">
        <f>"Доклад,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"&amp;IF(TEMPLATE_SPHERE="HEAT","цен (тарифов)","тарифов")&amp;" в сфере "&amp;IF(OR(TEMPLATE_SPHERE="HEAT",TEMPLATE_SPHERE="TKO"),TEMPLATE_SPHERE_RUS,"водоснабжения и водоотведения")&amp;" в случае, если региональный государственный контроль (надзор) в области регулирования "&amp;IF(TEMPLATE_SPHERE="HEAT","цен (тарифов)","тарифов")&amp;" в сфере "&amp;IF(OR(TEMPLATE_SPHERE="HEAT",TEMPLATE_SPHERE="TKO"),TEMPLATE_SPHERE_RUS,"водоснабжения и водоотведения")&amp;" в соответствии с положением, утвержденным высшим исполнительным органом субъекта Российской Федерации, осуществляется "&amp;IF(TEMPLATE_SPHERE="TKO","региональным органом регулирования","исполнительным органом субъекта Российской Федерации в области государственного регулирования "&amp;IF(TEMPLATE_SPHERE="HEAT","цен (тарифов)","тарифов"))</f>
        <v>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тарифов в сфере водоснабжения и водоотведения в случае, если региональный государственный контроль (надзор) в области регулирования тарифов в сфере водоснабжения и водоотведения в соответствии с положением, утвержденным высшим исполнительным органом субъекта Российской Федерации, осуществляется исполнительным органом субъекта Российской Федерации в области государственного регулирования тарифов</v>
      </c>
      <c s="1901"/>
      <c s="1899" t="str">
        <f>IF(TEMPLATE_SPHERE="TKO","Раскрывается региональным органом регулирования. ",IF(TEMPLATE_SPHERE="HEAT","Раскрывается исполнительным органом субъекта Российской Федерации в области государственного регулирования цен (тарифов). ",""))&amp;"Указывается ссылка на документ, предварительно загруженный в хранилище файлов ФГИС ЕИАС."</f>
        <v>Указывается ссылка на документ, предварительно загруженный в хранилище файлов ФГИС ЕИАС.</v>
      </c>
      <c s="1535"/>
      <c r="J24" s="504">
        <v>0</v>
      </c>
    </row>
    <row r="25" spans="1:10" ht="11.25" customHeight="1" hidden="1">
      <c r="A25" s="504" t="s">
        <v>81</v>
      </c>
      <c s="504">
        <v>0</v>
      </c>
      <c s="458">
        <v>3</v>
      </c>
      <c s="459">
        <v>6</v>
      </c>
      <c s="458">
        <v>52</v>
      </c>
      <c s="458">
        <v>48</v>
      </c>
      <c s="458">
        <v>93</v>
      </c>
      <c s="458">
        <v>8</v>
      </c>
      <c s="458">
        <v>64</v>
      </c>
      <c s="458">
        <v>11</v>
      </c>
    </row>
  </sheetData>
  <sheetProtection formatColumns="0" formatRows="0" insertRows="0" deleteColumns="0" deleteRows="0" sort="0" autoFilter="0"/>
  <mergeCells count="6">
    <mergeCell ref="G19:G21"/>
    <mergeCell ref="D5:F5"/>
    <mergeCell ref="D6:F6"/>
    <mergeCell ref="E8:F8"/>
    <mergeCell ref="D9:F9"/>
    <mergeCell ref="G9:G10"/>
  </mergeCells>
  <dataValidations count="2">
    <dataValidation type="textLength" operator="lessThanOrEqual" allowBlank="1" showInputMessage="1" showErrorMessage="1" prompt="Введите ссылку на обосновывающие материалы, загруженные с помощью &quot;ЕИАС Web&quot;." errorTitle="Ошибка" error="Допускается ввод не более 900 символов!" sqref="F24">
      <formula1>900</formula1>
    </dataValidation>
    <dataValidation type="textLength" operator="lessThanOrEqual" allowBlank="1" showInputMessage="1" showErrorMessage="1" errorTitle="Ошибка" error="Допускается ввод не более 900 символов!" sqref="F12 F14:F18 F22:F23">
      <formula1>900</formula1>
    </dataValidation>
  </dataValidations>
  <pageMargins left="0.7" right="0.7" top="0.75" bottom="0.75" header="0.3" footer="0.3"/>
  <pageSetup orientation="portrait"/>
</worksheet>
</file>

<file path=xl/worksheets/sheet5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m="http://schemas.microsoft.com/office/excel/2006/main" xmlns:x14ac="http://schemas.microsoft.com/office/spreadsheetml/2009/9/ac" xmlns:xr="http://schemas.microsoft.com/office/spreadsheetml/2014/revision" xmlns:xr2="http://schemas.microsoft.com/office/spreadsheetml/2015/revision2" xmlns:xr3="http://schemas.microsoft.com/office/spreadsheetml/2016/revision3" xr:uid="{BE102126-6962-CA86-414A-2AD36F59EB84}" mc:Ignorable="x14ac xr xr2 xr3">
  <dimension ref="A1:IU24"/>
  <sheetViews>
    <sheetView showGridLines="0" zoomScale="90" zoomScaleNormal="90" workbookViewId="0" topLeftCell="A1">
      <pane xSplit="5" ySplit="8" topLeftCell="F9" activePane="bottomRight" state="frozen"/>
      <selection pane="topLeft" activeCell="A1" sqref="A1"/>
      <selection pane="bottomLeft" activeCell="A9" sqref="A9"/>
      <selection pane="topRight" activeCell="F1" sqref="F1"/>
      <selection pane="bottomRight" activeCell="A1" sqref="A1"/>
    </sheetView>
  </sheetViews>
  <sheetFormatPr defaultColWidth="9.14428571428571" defaultRowHeight="14.25" customHeight="1"/>
  <cols>
    <col min="1" max="1" width="9.14285714285714" style="1638" hidden="1"/>
    <col min="2" max="2" width="9.14285714285714" style="1369" hidden="1"/>
    <col min="3" max="3" width="3.71428571428571" style="1638" hidden="1" customWidth="1"/>
    <col min="4" max="4" width="3" style="1845" customWidth="1"/>
    <col min="5" max="5" width="6" style="1638" customWidth="1"/>
    <col min="6" max="6" width="46" style="1638" customWidth="1"/>
    <col min="7" max="8" width="16" style="1638" customWidth="1"/>
    <col min="9" max="9" width="35" style="1638" customWidth="1"/>
    <col min="10" max="10" width="89" style="1638" customWidth="1"/>
    <col min="11" max="11" width="3" style="1627" customWidth="1"/>
    <col min="12" max="14" width="8" style="1627" customWidth="1"/>
    <col min="15" max="15" width="25" style="1627" customWidth="1"/>
    <col min="16" max="16" width="14" style="1627" customWidth="1"/>
    <col min="17" max="20" width="8" style="228" customWidth="1"/>
    <col min="21" max="254" width="8" style="1638" customWidth="1"/>
    <col min="255" max="255" width="9.14285714285714" style="1638" hidden="1"/>
  </cols>
  <sheetData>
    <row r="1" spans="6:8 255:255" ht="22.5" customHeight="1" hidden="1">
      <c r="F1" s="1634" t="s">
        <v>1871</v>
      </c>
      <c s="1634" t="s">
        <v>48</v>
      </c>
      <c s="1634" t="s">
        <v>50</v>
      </c>
      <c r="IU1" s="1158" t="s">
        <v>14</v>
      </c>
    </row>
    <row r="2" spans="1:81 255:255" s="1853" customFormat="1" ht="22.5" customHeight="1" hidden="1">
      <c r="A2" s="834"/>
      <c s="1163">
        <v>1</v>
      </c>
      <c s="1163"/>
      <c s="1931" t="s">
        <v>689</v>
      </c>
      <c s="1487"/>
      <c s="1494"/>
      <c s="1494"/>
      <c s="1494"/>
      <c s="1987"/>
      <c s="1988"/>
      <c s="1538"/>
      <c s="514"/>
      <c s="514"/>
      <c s="503" t="str">
        <f t="array" ref="N2">IF(ISERROR(MATCH(MID(O2,1,250),MID(note_ter,1,250),0)),"n","y")</f>
        <v>n</v>
      </c>
      <c s="514"/>
      <c s="503" t="str">
        <f>G2&amp;"("&amp;J2&amp;")"</f>
        <v>()</v>
      </c>
      <c s="1163"/>
      <c s="1163"/>
      <c s="423"/>
      <c s="1163"/>
      <c s="1163"/>
      <c s="1163"/>
      <c s="425"/>
      <c s="425"/>
      <c s="422"/>
      <c s="422"/>
      <c s="422"/>
      <c s="422"/>
      <c s="422"/>
      <c s="422"/>
      <c s="422"/>
      <c s="422"/>
      <c s="422"/>
      <c s="422"/>
      <c s="422"/>
      <c s="422"/>
      <c s="422"/>
      <c s="422"/>
      <c s="422"/>
      <c s="422"/>
      <c s="422"/>
      <c s="422"/>
      <c s="422"/>
      <c s="422"/>
      <c s="422"/>
      <c s="422"/>
      <c s="422"/>
      <c s="422"/>
      <c s="422"/>
      <c s="422"/>
      <c s="422"/>
      <c s="422"/>
      <c s="422"/>
      <c s="422"/>
      <c s="422"/>
      <c s="422"/>
      <c s="422"/>
      <c s="422"/>
      <c s="422"/>
      <c s="422"/>
      <c s="422"/>
      <c s="422"/>
      <c s="422"/>
      <c s="422"/>
      <c s="422"/>
      <c s="422"/>
      <c s="422"/>
      <c s="422"/>
      <c s="422"/>
      <c s="422"/>
      <c s="422"/>
      <c s="425"/>
      <c s="425"/>
      <c s="425"/>
      <c s="425"/>
      <c s="425"/>
      <c s="425"/>
      <c s="425"/>
      <c s="425"/>
      <c s="425"/>
      <c s="425"/>
      <c r="IU2" s="426">
        <v>0</v>
      </c>
    </row>
    <row r="3" spans="1:255" s="1645" customFormat="1" ht="4.2" customHeight="1">
      <c r="A3" s="499"/>
      <c r="D3" s="497"/>
      <c r="F3" s="250" t="s">
        <v>82</v>
      </c>
      <c s="497" t="s">
        <v>83</v>
      </c>
      <c s="497"/>
      <c s="497"/>
      <c s="230" t="s">
        <v>84</v>
      </c>
      <c s="250" t="s">
        <v>82</v>
      </c>
      <c s="250"/>
      <c s="250"/>
      <c s="250"/>
      <c s="251"/>
      <c s="250"/>
      <c s="250"/>
      <c s="250"/>
      <c s="250"/>
      <c s="250"/>
      <c s="230"/>
      <c s="230"/>
      <c s="230"/>
      <c s="230"/>
      <c s="230"/>
      <c s="230"/>
      <c s="230"/>
      <c s="230"/>
      <c s="230"/>
      <c s="230"/>
      <c s="230"/>
      <c s="230"/>
      <c s="230"/>
      <c s="230"/>
      <c s="230"/>
      <c s="230"/>
      <c s="230"/>
      <c s="230"/>
      <c s="230"/>
      <c s="230"/>
      <c s="230"/>
      <c s="230"/>
      <c s="230"/>
      <c s="230"/>
      <c s="230"/>
      <c s="230"/>
      <c s="230"/>
      <c s="230"/>
      <c s="230"/>
      <c s="230"/>
      <c s="230"/>
      <c s="230"/>
      <c s="230"/>
      <c s="230"/>
      <c s="230"/>
      <c s="230"/>
      <c s="230"/>
      <c s="230"/>
      <c s="230"/>
      <c s="230"/>
      <c s="230"/>
      <c s="230"/>
      <c s="230"/>
      <c s="230"/>
      <c s="230"/>
      <c s="230"/>
      <c s="230"/>
      <c s="230"/>
      <c s="230"/>
      <c s="230"/>
      <c s="230"/>
      <c s="230"/>
      <c s="230"/>
      <c s="230"/>
      <c s="230"/>
      <c s="230"/>
      <c s="230"/>
      <c s="230"/>
      <c s="230"/>
      <c s="230"/>
      <c s="230"/>
      <c s="230"/>
      <c s="230"/>
      <c s="230"/>
      <c s="230"/>
      <c s="230"/>
      <c s="230"/>
      <c s="230"/>
      <c s="230"/>
      <c s="230"/>
      <c s="230"/>
      <c s="230"/>
      <c s="230"/>
      <c s="230"/>
      <c s="230"/>
      <c s="230"/>
      <c s="230"/>
      <c s="230"/>
      <c s="230"/>
      <c s="230"/>
      <c s="230"/>
      <c s="230"/>
      <c s="230"/>
      <c s="230"/>
      <c s="230"/>
      <c s="230"/>
      <c s="230"/>
      <c s="230"/>
      <c s="230"/>
      <c s="230"/>
      <c s="230"/>
      <c s="230"/>
      <c s="230"/>
      <c s="230"/>
      <c s="230"/>
      <c s="230"/>
      <c s="230"/>
      <c s="230"/>
      <c s="230"/>
      <c s="230"/>
      <c s="230"/>
      <c s="230"/>
      <c s="230"/>
      <c s="230"/>
      <c s="230"/>
      <c s="230"/>
      <c s="230"/>
      <c s="230"/>
      <c s="230"/>
      <c s="230"/>
      <c s="230"/>
      <c s="230"/>
      <c s="230"/>
      <c s="230"/>
      <c s="230"/>
      <c s="230"/>
      <c s="230"/>
      <c s="230"/>
      <c s="230"/>
      <c s="230"/>
      <c s="230"/>
      <c s="230"/>
      <c s="230"/>
      <c s="230"/>
      <c s="230"/>
      <c s="230"/>
      <c s="230"/>
      <c s="230"/>
      <c s="230"/>
      <c s="230"/>
      <c s="230"/>
      <c s="230"/>
      <c s="230"/>
      <c s="230"/>
      <c s="230"/>
      <c s="230"/>
      <c s="230"/>
      <c s="230"/>
      <c s="230"/>
      <c s="230"/>
      <c s="230"/>
      <c s="230"/>
      <c s="230"/>
      <c s="230"/>
      <c s="230"/>
      <c s="230"/>
      <c s="230"/>
      <c s="230"/>
      <c s="230"/>
      <c s="230"/>
      <c s="230"/>
      <c s="230"/>
      <c s="230"/>
      <c s="230"/>
      <c s="230"/>
      <c s="230"/>
      <c s="230"/>
      <c s="230"/>
      <c s="230"/>
      <c s="230"/>
      <c s="230"/>
      <c s="230"/>
      <c s="230"/>
      <c s="230"/>
      <c s="230"/>
      <c s="230"/>
      <c s="230"/>
      <c s="230"/>
      <c s="230"/>
      <c s="230"/>
      <c s="230"/>
      <c s="230"/>
      <c s="230"/>
      <c s="230"/>
      <c s="230"/>
      <c s="230"/>
      <c s="230"/>
      <c s="230"/>
      <c s="230"/>
      <c s="230"/>
      <c s="230"/>
      <c s="230"/>
      <c s="230"/>
      <c s="230"/>
      <c s="230"/>
      <c s="230"/>
      <c s="230"/>
      <c s="230"/>
      <c s="230"/>
      <c s="230"/>
      <c s="230"/>
      <c s="230"/>
      <c s="230"/>
      <c s="230"/>
      <c s="230"/>
      <c s="230"/>
      <c s="230"/>
      <c s="230"/>
      <c s="230"/>
      <c s="230"/>
      <c s="230"/>
      <c s="230"/>
      <c s="230"/>
      <c s="230"/>
      <c s="230"/>
      <c s="230"/>
      <c s="230"/>
      <c s="230"/>
      <c s="230"/>
      <c s="230"/>
      <c s="230"/>
      <c s="230"/>
      <c s="230"/>
      <c s="230"/>
      <c s="230"/>
      <c s="230"/>
      <c s="230"/>
      <c s="230"/>
      <c s="230"/>
      <c s="230"/>
      <c s="230"/>
      <c s="230"/>
      <c s="230"/>
      <c s="230"/>
      <c s="230"/>
      <c s="230"/>
      <c s="230"/>
      <c s="230"/>
      <c s="230"/>
      <c s="230"/>
      <c s="230"/>
      <c s="230"/>
      <c s="230"/>
      <c s="230"/>
      <c s="514">
        <v>4</v>
      </c>
    </row>
    <row r="4" spans="1:20 255:255" s="1822" customFormat="1" ht="14.7" customHeight="1">
      <c r="A4" s="1158"/>
      <c s="1163"/>
      <c s="1158"/>
      <c s="1498"/>
      <c s="512"/>
      <c s="1645"/>
      <c s="512"/>
      <c s="512"/>
      <c s="512"/>
      <c s="169"/>
      <c s="250"/>
      <c s="503"/>
      <c s="503"/>
      <c s="503"/>
      <c s="229"/>
      <c s="503"/>
      <c s="228"/>
      <c s="228"/>
      <c s="228"/>
      <c s="228"/>
      <c r="IU4" s="510">
        <v>14</v>
      </c>
    </row>
    <row r="5" spans="1:20 255:255" s="1822" customFormat="1" ht="27.3" customHeight="1">
      <c r="A5" s="1158"/>
      <c s="1163"/>
      <c s="1158"/>
      <c s="1498"/>
      <c s="2103" t="str">
        <f>"Форма "&amp;IF(TEMPLATE_SPHERE="HEAT","3","2")&amp;". Перечень "&amp;IF(TEMPLATE_SPHERE="HEAT","регулируемых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теплоснабжения)","организаций, в отношении которых "&amp;IF(TEMPLATE_SPHERE="TKO","осуществляется регулирование предельных тарифов, а также перечень операторов по обращению с твердыми коммунальными отходами, осуществляющих деятельность по транспортированию твердых коммунальных отходов","орган регулирования тарифов осуществляет регулирование тарифов в сфере водоснабжения и водоотведения"))</f>
        <v>Форма 2. Перечень организаций, в отношении которых орган регулирования тарифов осуществляет регулирование тарифов в сфере водоснабжения и водоотведения</v>
      </c>
      <c s="2103"/>
      <c s="2103"/>
      <c s="2103"/>
      <c s="2103"/>
      <c s="2103"/>
      <c s="250"/>
      <c s="503"/>
      <c s="503"/>
      <c s="503"/>
      <c s="229"/>
      <c s="503"/>
      <c s="228"/>
      <c s="228"/>
      <c s="228"/>
      <c s="228"/>
      <c r="IU5" s="510">
        <v>26</v>
      </c>
    </row>
    <row r="6" spans="1:20 255:255" s="1822" customFormat="1" ht="14.7" customHeight="1">
      <c r="A6" s="1158"/>
      <c s="1163"/>
      <c s="1158"/>
      <c s="1498"/>
      <c s="512"/>
      <c s="170"/>
      <c s="170"/>
      <c s="170"/>
      <c s="170"/>
      <c s="171"/>
      <c s="503"/>
      <c s="503"/>
      <c s="503"/>
      <c s="503"/>
      <c s="229"/>
      <c s="503"/>
      <c s="228"/>
      <c s="228"/>
      <c s="228"/>
      <c s="228"/>
      <c r="IU6" s="510">
        <v>14</v>
      </c>
    </row>
    <row r="7" spans="1:20 255:255" s="1822" customFormat="1" ht="14.7" customHeight="1">
      <c r="A7" s="1158"/>
      <c s="1163"/>
      <c s="1158"/>
      <c s="1498"/>
      <c s="2104" t="s">
        <v>300</v>
      </c>
      <c s="2105"/>
      <c s="2105"/>
      <c s="2105"/>
      <c s="2105"/>
      <c s="2477" t="s">
        <v>301</v>
      </c>
      <c s="503"/>
      <c s="503"/>
      <c s="503"/>
      <c s="503"/>
      <c s="229"/>
      <c s="503"/>
      <c s="228"/>
      <c s="228"/>
      <c s="228"/>
      <c s="228"/>
      <c r="IU7" s="510">
        <v>14</v>
      </c>
    </row>
    <row r="8" spans="1:20 255:255" s="1822" customFormat="1" ht="21" customHeight="1">
      <c r="A8" s="1158"/>
      <c s="1163"/>
      <c s="1158"/>
      <c s="1498"/>
      <c s="1551" t="s">
        <v>87</v>
      </c>
      <c s="1543" t="s">
        <v>1871</v>
      </c>
      <c s="1543" t="s">
        <v>48</v>
      </c>
      <c s="1543" t="s">
        <v>50</v>
      </c>
      <c s="1543" t="s">
        <v>1872</v>
      </c>
      <c s="2478"/>
      <c s="503"/>
      <c s="503"/>
      <c s="503"/>
      <c s="503"/>
      <c s="229"/>
      <c s="503"/>
      <c s="228"/>
      <c s="228"/>
      <c s="228"/>
      <c s="228"/>
      <c r="IU8" s="510">
        <v>20</v>
      </c>
    </row>
    <row r="9" spans="1:81 255:255" s="1853" customFormat="1" ht="23.25" customHeight="1">
      <c r="A9" s="1634"/>
      <c s="1163">
        <v>1</v>
      </c>
      <c s="1163"/>
      <c s="804"/>
      <c s="1487">
        <v>1</v>
      </c>
      <c s="1550"/>
      <c s="1494"/>
      <c s="1494"/>
      <c s="1541"/>
      <c s="2172" t="str">
        <f>IF(TEMPLATE_SPHERE="TKO","Региональным органом регулирования (органом местного самоуправления) раскрывается информация по указанной форме в отношении"&amp;" операторов по обращению с твердыми коммунальными отходами, осуществляющих деятельность по транспортированию твердых коммунальных отходов, "&amp;"сведения о которых содержатся в договорах на транспортирование твердых коммунальных отходов, заключенных региональным оператором с таким оператором,"&amp;" и о предложении об установлении единого тарифа на услугу регионального оператора.","")&amp;"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налогоплательщика."&amp;"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f>
        <v>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s="1538"/>
      <c s="514"/>
      <c s="514"/>
      <c s="503" t="str">
        <f t="array" ref="N9">IF(ISERROR(MATCH(MID(O9,1,250),MID(note_ter,1,250),0)),"n","y")</f>
        <v>n</v>
      </c>
      <c s="514"/>
      <c s="503" t="str">
        <f>G9&amp;"("&amp;J9&amp;")"</f>
        <v>(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s="1163"/>
      <c s="1163"/>
      <c s="423"/>
      <c s="1163"/>
      <c s="1163"/>
      <c s="1163"/>
      <c s="425"/>
      <c s="425"/>
      <c s="422"/>
      <c s="422"/>
      <c s="422"/>
      <c s="422"/>
      <c s="422"/>
      <c s="422"/>
      <c s="422"/>
      <c s="422"/>
      <c s="422"/>
      <c s="422"/>
      <c s="422"/>
      <c s="422"/>
      <c s="422"/>
      <c s="422"/>
      <c s="422"/>
      <c s="422"/>
      <c s="422"/>
      <c s="422"/>
      <c s="422"/>
      <c s="422"/>
      <c s="422"/>
      <c s="422"/>
      <c s="422"/>
      <c s="422"/>
      <c s="422"/>
      <c s="422"/>
      <c s="422"/>
      <c s="422"/>
      <c s="422"/>
      <c s="422"/>
      <c s="422"/>
      <c s="422"/>
      <c s="422"/>
      <c s="422"/>
      <c s="422"/>
      <c s="422"/>
      <c s="422"/>
      <c s="422"/>
      <c s="422"/>
      <c s="422"/>
      <c s="422"/>
      <c s="422"/>
      <c s="422"/>
      <c s="422"/>
      <c s="422"/>
      <c s="422"/>
      <c s="422"/>
      <c s="425"/>
      <c s="425"/>
      <c s="425"/>
      <c s="425"/>
      <c s="425"/>
      <c s="425"/>
      <c s="425"/>
      <c s="425"/>
      <c s="425"/>
      <c s="425"/>
      <c r="IU9" s="426">
        <v>22</v>
      </c>
    </row>
    <row r="10" spans="1:81 255:255" s="1853" customFormat="1" ht="15.75" customHeight="1">
      <c r="A10" s="1634"/>
      <c s="1163"/>
      <c s="415"/>
      <c s="804"/>
      <c s="1544"/>
      <c s="1503" t="s">
        <v>1873</v>
      </c>
      <c s="1545"/>
      <c s="1545"/>
      <c s="1902"/>
      <c s="2174"/>
      <c s="1539"/>
      <c s="514"/>
      <c s="514"/>
      <c s="514"/>
      <c s="503"/>
      <c s="514"/>
      <c s="1163"/>
      <c s="1163"/>
      <c s="423"/>
      <c s="1163"/>
      <c s="1163"/>
      <c s="1163"/>
      <c s="425"/>
      <c s="425"/>
      <c s="422"/>
      <c s="422"/>
      <c s="422"/>
      <c s="422"/>
      <c s="422"/>
      <c s="422"/>
      <c s="422"/>
      <c s="422"/>
      <c s="422"/>
      <c s="422"/>
      <c s="422"/>
      <c s="422"/>
      <c s="422"/>
      <c s="422"/>
      <c s="422"/>
      <c s="422"/>
      <c s="422"/>
      <c s="422"/>
      <c s="422"/>
      <c s="422"/>
      <c s="422"/>
      <c s="422"/>
      <c s="422"/>
      <c s="422"/>
      <c s="422"/>
      <c s="422"/>
      <c s="422"/>
      <c s="422"/>
      <c s="422"/>
      <c s="422"/>
      <c s="422"/>
      <c s="422"/>
      <c s="422"/>
      <c s="422"/>
      <c s="422"/>
      <c s="422"/>
      <c s="422"/>
      <c s="422"/>
      <c s="422"/>
      <c s="422"/>
      <c s="422"/>
      <c s="422"/>
      <c s="422"/>
      <c s="422"/>
      <c s="422"/>
      <c s="422"/>
      <c s="422"/>
      <c s="425"/>
      <c s="425"/>
      <c s="425"/>
      <c s="425"/>
      <c s="425"/>
      <c s="425"/>
      <c s="425"/>
      <c s="425"/>
      <c s="425"/>
      <c s="425"/>
      <c r="IU10" s="426">
        <v>15</v>
      </c>
    </row>
    <row r="11" spans="1:20 255:255" s="1822" customFormat="1" ht="22.05" customHeight="1">
      <c r="A11" s="1158"/>
      <c s="1163"/>
      <c s="1158"/>
      <c s="454"/>
      <c s="183"/>
      <c s="183"/>
      <c s="183"/>
      <c s="183"/>
      <c s="183"/>
      <c s="183"/>
      <c s="503"/>
      <c s="503"/>
      <c s="503"/>
      <c s="503"/>
      <c s="229"/>
      <c s="503"/>
      <c s="228"/>
      <c s="228"/>
      <c s="228"/>
      <c s="228"/>
      <c r="IU11" s="510">
        <v>21</v>
      </c>
    </row>
    <row r="12" spans="1:20 255:255" s="1822" customFormat="1" ht="14.7" customHeight="1">
      <c r="A12" s="1158"/>
      <c s="1163"/>
      <c s="1158"/>
      <c s="454"/>
      <c s="1158"/>
      <c s="1158"/>
      <c s="1158"/>
      <c s="1158"/>
      <c s="1158"/>
      <c s="1158"/>
      <c s="503"/>
      <c s="503"/>
      <c s="503"/>
      <c s="503"/>
      <c s="229"/>
      <c s="503"/>
      <c s="228"/>
      <c s="228"/>
      <c s="228"/>
      <c s="228"/>
      <c r="IU12" s="510">
        <v>14</v>
      </c>
    </row>
    <row r="13" spans="1:20 255:255" s="1822" customFormat="1" ht="1.05" customHeight="1">
      <c r="A13" s="1158"/>
      <c s="1163"/>
      <c s="1158"/>
      <c s="454"/>
      <c s="1158"/>
      <c s="1158"/>
      <c s="1158"/>
      <c s="1158"/>
      <c s="1158"/>
      <c s="1158"/>
      <c s="503"/>
      <c s="503"/>
      <c s="503"/>
      <c s="503"/>
      <c s="229"/>
      <c s="503"/>
      <c s="228"/>
      <c s="228"/>
      <c s="228"/>
      <c s="228"/>
      <c r="IU13" s="510">
        <v>1</v>
      </c>
    </row>
    <row r="14" spans="2:20 255:255" s="1067" customFormat="1" ht="10.5" customHeight="1">
      <c r="B14" s="837"/>
      <c r="D14" s="185"/>
      <c r="K14" s="503"/>
      <c s="503"/>
      <c s="503"/>
      <c s="503"/>
      <c s="229"/>
      <c s="503"/>
      <c s="228"/>
      <c s="228"/>
      <c s="228"/>
      <c s="228"/>
      <c r="IU14" s="184">
        <v>10</v>
      </c>
    </row>
    <row r="15" spans="2:20 255:255" s="1067" customFormat="1" ht="10.5" customHeight="1">
      <c r="B15" s="837"/>
      <c r="D15" s="185"/>
      <c r="K15" s="503"/>
      <c s="503"/>
      <c s="503"/>
      <c s="503"/>
      <c s="229"/>
      <c s="503"/>
      <c s="228"/>
      <c s="228"/>
      <c s="228"/>
      <c s="228"/>
      <c r="IU15" s="184">
        <v>10</v>
      </c>
    </row>
    <row r="16" spans="255:255" ht="14.7" customHeight="1">
      <c r="IU16" s="1158">
        <v>14</v>
      </c>
    </row>
    <row r="17" spans="255:255" ht="14.7" customHeight="1">
      <c r="IU17" s="1158">
        <v>14</v>
      </c>
    </row>
    <row r="18" spans="255:255" ht="14.7" customHeight="1">
      <c r="IU18" s="1158">
        <v>14</v>
      </c>
    </row>
    <row r="19" spans="7:9 255:255" ht="14.7" customHeight="1">
      <c r="G19" s="376"/>
      <c s="376"/>
      <c s="376"/>
      <c r="IU19" s="1158">
        <v>14</v>
      </c>
    </row>
    <row r="20" spans="255:255" ht="14.7" customHeight="1">
      <c r="IU20" s="1158">
        <v>14</v>
      </c>
    </row>
    <row r="21" spans="255:255" ht="14.7" customHeight="1">
      <c r="IU21" s="1158">
        <v>14</v>
      </c>
    </row>
    <row r="22" spans="255:255" ht="14.7" customHeight="1">
      <c r="IU22" s="1158">
        <v>14</v>
      </c>
    </row>
    <row r="23" spans="11:13 255:255" ht="14.7" customHeight="1">
      <c r="K23" s="1158"/>
      <c s="1158"/>
      <c s="1158"/>
      <c r="IU23" s="1158">
        <v>14</v>
      </c>
    </row>
    <row r="24" spans="1:255" ht="22.5" customHeight="1" hidden="1">
      <c r="A24" s="1158" t="s">
        <v>81</v>
      </c>
      <c s="1163">
        <v>0</v>
      </c>
      <c s="1158">
        <v>0</v>
      </c>
      <c s="454">
        <v>3</v>
      </c>
      <c s="1158">
        <v>6</v>
      </c>
      <c s="1158">
        <v>46</v>
      </c>
      <c s="1158">
        <v>16</v>
      </c>
      <c s="1158">
        <v>16</v>
      </c>
      <c s="1158">
        <v>35</v>
      </c>
      <c s="1158">
        <v>89</v>
      </c>
      <c s="503">
        <v>3</v>
      </c>
      <c s="503">
        <v>8</v>
      </c>
      <c s="503">
        <v>8</v>
      </c>
      <c s="503">
        <v>8</v>
      </c>
      <c s="229">
        <v>25</v>
      </c>
      <c s="503">
        <v>14</v>
      </c>
      <c s="228">
        <v>8</v>
      </c>
      <c s="228">
        <v>8</v>
      </c>
      <c s="228">
        <v>8</v>
      </c>
      <c s="228">
        <v>8</v>
      </c>
      <c s="1158">
        <v>8</v>
      </c>
      <c s="1158">
        <v>8</v>
      </c>
      <c s="1158">
        <v>8</v>
      </c>
      <c s="1158">
        <v>8</v>
      </c>
      <c s="1158">
        <v>8</v>
      </c>
      <c s="1158">
        <v>8</v>
      </c>
      <c s="1158">
        <v>8</v>
      </c>
      <c s="1158">
        <v>8</v>
      </c>
      <c s="1158">
        <v>8</v>
      </c>
      <c s="1158">
        <v>8</v>
      </c>
      <c s="1158">
        <v>8</v>
      </c>
      <c s="1158">
        <v>8</v>
      </c>
      <c s="1158">
        <v>8</v>
      </c>
      <c s="1158">
        <v>8</v>
      </c>
      <c s="1158">
        <v>8</v>
      </c>
      <c s="1158">
        <v>8</v>
      </c>
      <c s="1158">
        <v>8</v>
      </c>
      <c s="1158">
        <v>8</v>
      </c>
      <c s="1158">
        <v>8</v>
      </c>
      <c s="1158">
        <v>8</v>
      </c>
      <c s="1158">
        <v>8</v>
      </c>
      <c s="1158">
        <v>8</v>
      </c>
      <c s="1158">
        <v>8</v>
      </c>
      <c s="1158">
        <v>8</v>
      </c>
      <c s="1158">
        <v>8</v>
      </c>
      <c s="1158">
        <v>8</v>
      </c>
      <c s="1158">
        <v>8</v>
      </c>
      <c s="1158">
        <v>8</v>
      </c>
      <c s="1158">
        <v>8</v>
      </c>
      <c s="1158">
        <v>8</v>
      </c>
      <c s="1158">
        <v>8</v>
      </c>
      <c s="1158">
        <v>8</v>
      </c>
      <c s="1158">
        <v>8</v>
      </c>
      <c s="1158">
        <v>8</v>
      </c>
      <c s="1158">
        <v>8</v>
      </c>
      <c s="1158">
        <v>8</v>
      </c>
      <c s="1158">
        <v>8</v>
      </c>
      <c s="1158">
        <v>8</v>
      </c>
      <c s="1158">
        <v>8</v>
      </c>
      <c s="1158">
        <v>8</v>
      </c>
      <c s="1158">
        <v>8</v>
      </c>
      <c s="1158">
        <v>8</v>
      </c>
      <c s="1158">
        <v>8</v>
      </c>
      <c s="1158">
        <v>8</v>
      </c>
      <c s="1158">
        <v>8</v>
      </c>
      <c s="1158">
        <v>8</v>
      </c>
      <c s="1158">
        <v>8</v>
      </c>
      <c s="1158">
        <v>8</v>
      </c>
      <c s="1158">
        <v>8</v>
      </c>
      <c s="1158">
        <v>8</v>
      </c>
      <c s="1158">
        <v>8</v>
      </c>
      <c s="1158">
        <v>8</v>
      </c>
      <c s="1158">
        <v>8</v>
      </c>
      <c s="1158">
        <v>8</v>
      </c>
      <c s="1158">
        <v>8</v>
      </c>
      <c s="1158">
        <v>8</v>
      </c>
      <c s="1158">
        <v>8</v>
      </c>
      <c s="1158">
        <v>8</v>
      </c>
      <c s="1158">
        <v>8</v>
      </c>
      <c s="1158">
        <v>8</v>
      </c>
      <c s="1158">
        <v>8</v>
      </c>
      <c s="1158">
        <v>8</v>
      </c>
      <c s="1158">
        <v>8</v>
      </c>
      <c s="1158">
        <v>8</v>
      </c>
      <c s="1158">
        <v>8</v>
      </c>
      <c s="1158">
        <v>8</v>
      </c>
      <c s="1158">
        <v>8</v>
      </c>
      <c s="1158">
        <v>8</v>
      </c>
      <c s="1158">
        <v>8</v>
      </c>
      <c s="1158">
        <v>8</v>
      </c>
      <c s="1158">
        <v>8</v>
      </c>
      <c s="1158">
        <v>8</v>
      </c>
      <c s="1158">
        <v>8</v>
      </c>
      <c s="1158">
        <v>8</v>
      </c>
      <c s="1158">
        <v>8</v>
      </c>
      <c s="1158">
        <v>8</v>
      </c>
      <c s="1158">
        <v>8</v>
      </c>
      <c s="1158">
        <v>8</v>
      </c>
      <c s="1158">
        <v>8</v>
      </c>
      <c s="1158">
        <v>8</v>
      </c>
      <c s="1158">
        <v>8</v>
      </c>
      <c s="1158">
        <v>8</v>
      </c>
      <c s="1158">
        <v>8</v>
      </c>
      <c s="1158">
        <v>8</v>
      </c>
      <c s="1158">
        <v>8</v>
      </c>
      <c s="1158">
        <v>8</v>
      </c>
      <c s="1158">
        <v>8</v>
      </c>
      <c s="1158">
        <v>8</v>
      </c>
      <c s="1158">
        <v>8</v>
      </c>
      <c s="1158">
        <v>8</v>
      </c>
      <c s="1158">
        <v>8</v>
      </c>
      <c s="1158">
        <v>8</v>
      </c>
      <c s="1158">
        <v>8</v>
      </c>
      <c s="1158">
        <v>8</v>
      </c>
      <c s="1158">
        <v>8</v>
      </c>
      <c s="1158">
        <v>8</v>
      </c>
      <c s="1158">
        <v>8</v>
      </c>
      <c s="1158">
        <v>8</v>
      </c>
      <c s="1158">
        <v>8</v>
      </c>
      <c s="1158">
        <v>8</v>
      </c>
      <c s="1158">
        <v>8</v>
      </c>
      <c s="1158">
        <v>8</v>
      </c>
      <c s="1158">
        <v>8</v>
      </c>
      <c s="1158">
        <v>8</v>
      </c>
      <c s="1158">
        <v>8</v>
      </c>
      <c s="1158">
        <v>8</v>
      </c>
      <c s="1158">
        <v>8</v>
      </c>
      <c s="1158">
        <v>8</v>
      </c>
      <c s="1158">
        <v>8</v>
      </c>
      <c s="1158">
        <v>8</v>
      </c>
      <c s="1158">
        <v>8</v>
      </c>
      <c s="1158">
        <v>8</v>
      </c>
      <c s="1158">
        <v>8</v>
      </c>
      <c s="1158">
        <v>8</v>
      </c>
      <c s="1158">
        <v>8</v>
      </c>
      <c s="1158">
        <v>8</v>
      </c>
      <c s="1158">
        <v>8</v>
      </c>
      <c s="1158">
        <v>8</v>
      </c>
      <c s="1158">
        <v>8</v>
      </c>
      <c s="1158">
        <v>8</v>
      </c>
      <c s="1158">
        <v>8</v>
      </c>
      <c s="1158">
        <v>8</v>
      </c>
      <c s="1158">
        <v>8</v>
      </c>
      <c s="1158">
        <v>8</v>
      </c>
      <c s="1158">
        <v>8</v>
      </c>
      <c s="1158">
        <v>8</v>
      </c>
      <c s="1158">
        <v>8</v>
      </c>
      <c s="1158">
        <v>8</v>
      </c>
      <c s="1158">
        <v>8</v>
      </c>
      <c s="1158">
        <v>8</v>
      </c>
      <c s="1158">
        <v>8</v>
      </c>
      <c s="1158">
        <v>8</v>
      </c>
      <c s="1158">
        <v>8</v>
      </c>
      <c s="1158">
        <v>8</v>
      </c>
      <c s="1158">
        <v>8</v>
      </c>
      <c s="1158">
        <v>8</v>
      </c>
      <c s="1158">
        <v>8</v>
      </c>
      <c s="1158">
        <v>8</v>
      </c>
      <c s="1158">
        <v>8</v>
      </c>
      <c s="1158">
        <v>8</v>
      </c>
      <c s="1158">
        <v>8</v>
      </c>
      <c s="1158">
        <v>8</v>
      </c>
      <c s="1158">
        <v>8</v>
      </c>
      <c s="1158">
        <v>8</v>
      </c>
      <c s="1158">
        <v>8</v>
      </c>
      <c s="1158">
        <v>8</v>
      </c>
      <c s="1158">
        <v>8</v>
      </c>
      <c s="1158">
        <v>8</v>
      </c>
      <c s="1158">
        <v>8</v>
      </c>
      <c s="1158">
        <v>8</v>
      </c>
      <c s="1158">
        <v>8</v>
      </c>
      <c s="1158">
        <v>8</v>
      </c>
      <c s="1158">
        <v>8</v>
      </c>
      <c s="1158">
        <v>8</v>
      </c>
      <c s="1158">
        <v>8</v>
      </c>
      <c s="1158">
        <v>8</v>
      </c>
      <c s="1158">
        <v>8</v>
      </c>
      <c s="1158">
        <v>8</v>
      </c>
      <c s="1158">
        <v>8</v>
      </c>
      <c s="1158">
        <v>8</v>
      </c>
      <c s="1158">
        <v>8</v>
      </c>
      <c s="1158">
        <v>8</v>
      </c>
      <c s="1158">
        <v>8</v>
      </c>
      <c s="1158">
        <v>8</v>
      </c>
      <c s="1158">
        <v>8</v>
      </c>
      <c s="1158">
        <v>8</v>
      </c>
      <c s="1158">
        <v>8</v>
      </c>
      <c s="1158">
        <v>8</v>
      </c>
      <c s="1158">
        <v>8</v>
      </c>
      <c s="1158">
        <v>8</v>
      </c>
      <c s="1158">
        <v>8</v>
      </c>
      <c s="1158">
        <v>8</v>
      </c>
      <c s="1158">
        <v>8</v>
      </c>
      <c s="1158">
        <v>8</v>
      </c>
      <c s="1158">
        <v>8</v>
      </c>
      <c s="1158">
        <v>8</v>
      </c>
      <c s="1158">
        <v>8</v>
      </c>
      <c s="1158">
        <v>8</v>
      </c>
      <c s="1158">
        <v>8</v>
      </c>
      <c s="1158">
        <v>8</v>
      </c>
      <c s="1158">
        <v>8</v>
      </c>
      <c s="1158">
        <v>8</v>
      </c>
      <c s="1158">
        <v>8</v>
      </c>
      <c s="1158">
        <v>8</v>
      </c>
      <c s="1158">
        <v>8</v>
      </c>
      <c s="1158">
        <v>8</v>
      </c>
      <c s="1158">
        <v>8</v>
      </c>
      <c s="1158">
        <v>8</v>
      </c>
      <c s="1158">
        <v>8</v>
      </c>
      <c s="1158">
        <v>8</v>
      </c>
      <c s="1158">
        <v>8</v>
      </c>
      <c s="1158">
        <v>8</v>
      </c>
      <c s="1158">
        <v>8</v>
      </c>
      <c s="1158">
        <v>8</v>
      </c>
      <c s="1158">
        <v>8</v>
      </c>
      <c s="1158">
        <v>8</v>
      </c>
      <c s="1158">
        <v>8</v>
      </c>
      <c s="1158">
        <v>8</v>
      </c>
      <c s="1158">
        <v>8</v>
      </c>
      <c s="1158">
        <v>8</v>
      </c>
      <c s="1158">
        <v>8</v>
      </c>
      <c s="1158">
        <v>8</v>
      </c>
      <c s="1158">
        <v>8</v>
      </c>
      <c s="1158">
        <v>8</v>
      </c>
      <c s="1158">
        <v>8</v>
      </c>
      <c s="1158">
        <v>8</v>
      </c>
      <c s="1158">
        <v>8</v>
      </c>
      <c s="1158">
        <v>8</v>
      </c>
      <c s="1158">
        <v>8</v>
      </c>
      <c s="1158">
        <v>8</v>
      </c>
      <c s="1158">
        <v>8</v>
      </c>
      <c s="1158">
        <v>8</v>
      </c>
      <c s="1158">
        <v>8</v>
      </c>
      <c s="1158">
        <v>8</v>
      </c>
      <c s="1158">
        <v>8</v>
      </c>
      <c s="1158">
        <v>8</v>
      </c>
      <c s="1158">
        <v>8</v>
      </c>
      <c s="1158">
        <v>8</v>
      </c>
      <c s="1158">
        <v>8</v>
      </c>
      <c s="1158">
        <v>8</v>
      </c>
      <c s="1158">
        <v>8</v>
      </c>
      <c s="1158">
        <v>8</v>
      </c>
      <c s="1158">
        <v>8</v>
      </c>
      <c s="1158">
        <v>8</v>
      </c>
      <c s="1158">
        <v>8</v>
      </c>
      <c s="1158">
        <v>8</v>
      </c>
      <c s="1158">
        <v>8</v>
      </c>
      <c s="1158">
        <v>8</v>
      </c>
      <c s="1158">
        <v>8</v>
      </c>
      <c s="1158">
        <v>8</v>
      </c>
      <c s="1158">
        <v>8</v>
      </c>
      <c s="1158">
        <v>8</v>
      </c>
      <c s="1158">
        <v>8</v>
      </c>
      <c s="1158">
        <v>8</v>
      </c>
      <c s="1158">
        <v>23</v>
      </c>
    </row>
  </sheetData>
  <sheetProtection formatColumns="0" formatRows="0" insertRows="0" deleteColumns="0" deleteRows="0" sort="0" autoFilter="0"/>
  <mergeCells count="4">
    <mergeCell ref="E5:J5"/>
    <mergeCell ref="E7:I7"/>
    <mergeCell ref="J7:J8"/>
    <mergeCell ref="J9:J10"/>
  </mergeCells>
  <dataValidations count="2">
    <dataValidation type="textLength" allowBlank="1" showInputMessage="1" showErrorMessage="1" prompt="ОГРН состоит из 13 цифр, ОГРНИП - из 15" sqref="I2 I9">
      <formula1>13</formula1>
      <formula2>15</formula2>
    </dataValidation>
    <dataValidation type="textLength" allowBlank="1" showInputMessage="1" showErrorMessage="1" sqref="I3">
      <formula1>13</formula1>
      <formula2>15</formula2>
    </dataValidation>
  </dataValidations>
  <pageMargins left="0.7" right="0.7" top="0.75" bottom="0.75" header="0.3" footer="0.3"/>
  <pageSetup orientation="portrait" paperSize="9"/>
</worksheet>
</file>

<file path=xl/worksheets/sheet5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m="http://schemas.microsoft.com/office/excel/2006/main" xmlns:x14ac="http://schemas.microsoft.com/office/spreadsheetml/2009/9/ac" xmlns:xr="http://schemas.microsoft.com/office/spreadsheetml/2014/revision" xmlns:xr2="http://schemas.microsoft.com/office/spreadsheetml/2015/revision2" xmlns:xr3="http://schemas.microsoft.com/office/spreadsheetml/2016/revision3" xr:uid="{6E5F628E-82E2-F831-C56F-EDE0D83459A3}" mc:Ignorable="x14ac xr xr2 xr3">
  <dimension ref="A1:IW15"/>
  <sheetViews>
    <sheetView showGridLines="0" zoomScale="90" zoomScaleNormal="90" workbookViewId="0" topLeftCell="A1">
      <pane xSplit="6" ySplit="9" topLeftCell="G10" activePane="bottomRight" state="frozen"/>
      <selection pane="topLeft" activeCell="A1" sqref="A1"/>
      <selection pane="bottomLeft" activeCell="A10" sqref="A10"/>
      <selection pane="topRight" activeCell="G1" sqref="G1"/>
      <selection pane="bottomRight" activeCell="A1" sqref="A1"/>
    </sheetView>
  </sheetViews>
  <sheetFormatPr defaultColWidth="9.14428571428571" defaultRowHeight="14.25" customHeight="1"/>
  <cols>
    <col min="1" max="1" width="9.14285714285714" style="1638" hidden="1"/>
    <col min="2" max="2" width="9.14285714285714" style="1369" hidden="1"/>
    <col min="3" max="3" width="3.71428571428571" style="1638" hidden="1" customWidth="1"/>
    <col min="4" max="4" width="3" style="1845" customWidth="1"/>
    <col min="5" max="5" width="6" style="1638" customWidth="1"/>
    <col min="6" max="6" width="27" style="1638" customWidth="1"/>
    <col min="7" max="7" width="16" style="1638" customWidth="1"/>
    <col min="8" max="8" width="12" style="1638" customWidth="1"/>
    <col min="9" max="9" width="32" style="1638" customWidth="1"/>
    <col min="10" max="11" width="41" style="1638" customWidth="1"/>
    <col min="12" max="12" width="89" style="1638" customWidth="1"/>
    <col min="13" max="13" width="3" style="1627" customWidth="1"/>
    <col min="14" max="16" width="8" style="1627" customWidth="1"/>
    <col min="17" max="17" width="25" style="1627" customWidth="1"/>
    <col min="18" max="18" width="14" style="1627" customWidth="1"/>
    <col min="19" max="22" width="8" style="228" customWidth="1"/>
    <col min="23" max="256" width="8" style="1638" customWidth="1"/>
    <col min="257" max="257" width="9.14285714285714" style="1638" hidden="1"/>
  </cols>
  <sheetData>
    <row r="1" spans="257:257" ht="22.5" customHeight="1" hidden="1">
      <c r="IW1" s="1158" t="s">
        <v>14</v>
      </c>
    </row>
    <row r="2" spans="1:83 257:257" s="1853" customFormat="1" ht="22.5" customHeight="1" hidden="1">
      <c r="A2" s="834"/>
      <c s="1163">
        <v>1</v>
      </c>
      <c s="1163"/>
      <c s="1931" t="s">
        <v>689</v>
      </c>
      <c s="1892"/>
      <c s="1895" t="str">
        <f>IF(ROIV_INFO_NAME="","",ROIV_INFO_NAME)</f>
        <v>ГУП КК "Кубаньводкомплекс"</v>
      </c>
      <c s="1920" t="s">
        <v>22</v>
      </c>
      <c s="1919"/>
      <c s="1541"/>
      <c s="821"/>
      <c s="821"/>
      <c s="231"/>
      <c s="1538">
        <f>MERGEVALUE(F2)</f>
      </c>
      <c s="514"/>
      <c s="514"/>
      <c s="503" t="str">
        <f t="array" ref="P2">IF(ISERROR(MATCH(MID(Q2,1,250),MID(note_ter,1,250),0)),"n","y")</f>
        <v>n</v>
      </c>
      <c s="514"/>
      <c s="503" t="str">
        <f>G2&amp;"("&amp;L2&amp;")"</f>
        <v>()</v>
      </c>
      <c s="1163"/>
      <c s="1163"/>
      <c s="423"/>
      <c s="1163"/>
      <c s="1163"/>
      <c s="1163"/>
      <c s="425"/>
      <c s="425"/>
      <c s="422"/>
      <c s="422"/>
      <c s="422"/>
      <c s="422"/>
      <c s="422"/>
      <c s="422"/>
      <c s="422"/>
      <c s="422"/>
      <c s="422"/>
      <c s="422"/>
      <c s="422"/>
      <c s="422"/>
      <c s="422"/>
      <c s="422"/>
      <c s="422"/>
      <c s="422"/>
      <c s="422"/>
      <c s="422"/>
      <c s="422"/>
      <c s="422"/>
      <c s="422"/>
      <c s="422"/>
      <c s="422"/>
      <c s="422"/>
      <c s="422"/>
      <c s="422"/>
      <c s="422"/>
      <c s="422"/>
      <c s="422"/>
      <c s="422"/>
      <c s="422"/>
      <c s="422"/>
      <c s="422"/>
      <c s="422"/>
      <c s="422"/>
      <c s="422"/>
      <c s="422"/>
      <c s="422"/>
      <c s="422"/>
      <c s="422"/>
      <c s="422"/>
      <c s="422"/>
      <c s="422"/>
      <c s="422"/>
      <c s="422"/>
      <c s="422"/>
      <c s="422"/>
      <c s="425"/>
      <c s="425"/>
      <c s="425"/>
      <c s="425"/>
      <c s="425"/>
      <c s="425"/>
      <c s="425"/>
      <c s="425"/>
      <c s="425"/>
      <c s="425"/>
      <c r="IW2" s="426">
        <v>0</v>
      </c>
    </row>
    <row r="3" spans="1:257" s="1645" customFormat="1" ht="5.25" customHeight="1" hidden="1">
      <c r="A3" s="499"/>
      <c r="D3" s="497"/>
      <c r="F3" s="250" t="s">
        <v>82</v>
      </c>
      <c s="1738" t="s">
        <v>83</v>
      </c>
      <c s="497"/>
      <c s="497"/>
      <c s="497"/>
      <c s="497"/>
      <c s="230" t="s">
        <v>84</v>
      </c>
      <c s="250" t="s">
        <v>82</v>
      </c>
      <c s="250"/>
      <c s="250"/>
      <c s="250"/>
      <c s="251"/>
      <c s="250"/>
      <c s="250"/>
      <c s="250"/>
      <c s="250"/>
      <c s="250"/>
      <c s="230"/>
      <c s="230"/>
      <c s="230"/>
      <c s="230"/>
      <c s="230"/>
      <c s="230"/>
      <c s="230"/>
      <c s="230"/>
      <c s="230"/>
      <c s="230"/>
      <c s="230"/>
      <c s="230"/>
      <c s="230"/>
      <c s="230"/>
      <c s="230"/>
      <c s="230"/>
      <c s="230"/>
      <c s="230"/>
      <c s="230"/>
      <c s="230"/>
      <c s="230"/>
      <c s="230"/>
      <c s="230"/>
      <c s="230"/>
      <c s="230"/>
      <c s="230"/>
      <c s="230"/>
      <c s="230"/>
      <c s="230"/>
      <c s="230"/>
      <c s="230"/>
      <c s="230"/>
      <c s="230"/>
      <c s="230"/>
      <c s="230"/>
      <c s="230"/>
      <c s="230"/>
      <c s="230"/>
      <c s="230"/>
      <c s="230"/>
      <c s="230"/>
      <c s="230"/>
      <c s="230"/>
      <c s="230"/>
      <c s="230"/>
      <c s="230"/>
      <c s="230"/>
      <c s="230"/>
      <c s="230"/>
      <c s="230"/>
      <c s="230"/>
      <c s="230"/>
      <c s="230"/>
      <c s="230"/>
      <c s="230"/>
      <c s="230"/>
      <c s="230"/>
      <c s="230"/>
      <c s="230"/>
      <c s="230"/>
      <c s="230"/>
      <c s="230"/>
      <c s="230"/>
      <c s="230"/>
      <c s="230"/>
      <c s="230"/>
      <c s="230"/>
      <c s="230"/>
      <c s="230"/>
      <c s="230"/>
      <c s="230"/>
      <c s="230"/>
      <c s="230"/>
      <c s="230"/>
      <c s="230"/>
      <c s="230"/>
      <c s="230"/>
      <c s="230"/>
      <c s="230"/>
      <c s="230"/>
      <c s="230"/>
      <c s="230"/>
      <c s="230"/>
      <c s="230"/>
      <c s="230"/>
      <c s="230"/>
      <c s="230"/>
      <c s="230"/>
      <c s="230"/>
      <c s="230"/>
      <c s="230"/>
      <c s="230"/>
      <c s="230"/>
      <c s="230"/>
      <c s="230"/>
      <c s="230"/>
      <c s="230"/>
      <c s="230"/>
      <c s="230"/>
      <c s="230"/>
      <c s="230"/>
      <c s="230"/>
      <c s="230"/>
      <c s="230"/>
      <c s="230"/>
      <c s="230"/>
      <c s="230"/>
      <c s="230"/>
      <c s="230"/>
      <c s="230"/>
      <c s="230"/>
      <c s="230"/>
      <c s="230"/>
      <c s="230"/>
      <c s="230"/>
      <c s="230"/>
      <c s="230"/>
      <c s="230"/>
      <c s="230"/>
      <c s="230"/>
      <c s="230"/>
      <c s="230"/>
      <c s="230"/>
      <c s="230"/>
      <c s="230"/>
      <c s="230"/>
      <c s="230"/>
      <c s="230"/>
      <c s="230"/>
      <c s="230"/>
      <c s="230"/>
      <c s="230"/>
      <c s="230"/>
      <c s="230"/>
      <c s="230"/>
      <c s="230"/>
      <c s="230"/>
      <c s="230"/>
      <c s="230"/>
      <c s="230"/>
      <c s="230"/>
      <c s="230"/>
      <c s="230"/>
      <c s="230"/>
      <c s="230"/>
      <c s="230"/>
      <c s="230"/>
      <c s="230"/>
      <c s="230"/>
      <c s="230"/>
      <c s="230"/>
      <c s="230"/>
      <c s="230"/>
      <c s="230"/>
      <c s="230"/>
      <c s="230"/>
      <c s="230"/>
      <c s="230"/>
      <c s="230"/>
      <c s="230"/>
      <c s="230"/>
      <c s="230"/>
      <c s="230"/>
      <c s="230"/>
      <c s="230"/>
      <c s="230"/>
      <c s="230"/>
      <c s="230"/>
      <c s="230"/>
      <c s="230"/>
      <c s="230"/>
      <c s="230"/>
      <c s="230"/>
      <c s="230"/>
      <c s="230"/>
      <c s="230"/>
      <c s="230"/>
      <c s="230"/>
      <c s="230"/>
      <c s="230"/>
      <c s="230"/>
      <c s="230"/>
      <c s="230"/>
      <c s="230"/>
      <c s="230"/>
      <c s="230"/>
      <c s="230"/>
      <c s="230"/>
      <c s="230"/>
      <c s="230"/>
      <c s="230"/>
      <c s="230"/>
      <c s="230"/>
      <c s="230"/>
      <c s="230"/>
      <c s="230"/>
      <c s="230"/>
      <c s="230"/>
      <c s="230"/>
      <c s="230"/>
      <c s="230"/>
      <c s="230"/>
      <c s="230"/>
      <c s="230"/>
      <c s="230"/>
      <c s="230"/>
      <c s="230"/>
      <c s="230"/>
      <c s="230"/>
      <c s="230"/>
      <c s="230"/>
      <c s="230"/>
      <c s="230"/>
      <c s="230"/>
      <c s="230"/>
      <c s="230"/>
      <c s="230"/>
      <c s="230"/>
      <c s="230"/>
      <c s="230"/>
      <c s="230"/>
      <c s="230"/>
      <c s="230"/>
      <c s="230"/>
      <c s="230"/>
      <c s="230"/>
      <c s="230"/>
      <c s="230"/>
      <c s="230"/>
      <c s="230"/>
      <c s="230"/>
      <c s="230"/>
      <c s="230"/>
      <c s="230"/>
      <c s="514">
        <v>0</v>
      </c>
    </row>
    <row r="4" spans="1:22 257:257" s="1822" customFormat="1" ht="14.7" customHeight="1">
      <c r="A4" s="1158"/>
      <c s="1163"/>
      <c s="1158"/>
      <c s="1498"/>
      <c s="512"/>
      <c s="512"/>
      <c s="512"/>
      <c s="512"/>
      <c s="512"/>
      <c s="512"/>
      <c s="512"/>
      <c s="169"/>
      <c s="250"/>
      <c s="503"/>
      <c s="503"/>
      <c s="503"/>
      <c s="229"/>
      <c s="503"/>
      <c s="228"/>
      <c s="228"/>
      <c s="228"/>
      <c s="228"/>
      <c r="IW4" s="510">
        <v>14</v>
      </c>
    </row>
    <row r="5" spans="1:22 257:257" s="1822" customFormat="1" ht="27.3" customHeight="1">
      <c r="A5" s="1158"/>
      <c s="1163"/>
      <c s="1158"/>
      <c s="1498"/>
      <c s="2103" t="str">
        <f>"Форма "&amp;IF(TEMPLATE_SPHERE="HEAT","4","3")&amp;". Информация о рассмотрении дел об установлении "&amp;IF(TEMPLATE_SPHERE="TKO","предельных тарифов","тарифов в сфере "&amp;TEMPLATE_SPHERE_RUS)</f>
        <v>Форма 3. Информация о рассмотрении дел об установлении тарифов в сфере водоотведения</v>
      </c>
      <c s="2103"/>
      <c s="2103"/>
      <c s="2103"/>
      <c s="2103"/>
      <c s="2103"/>
      <c s="2103"/>
      <c s="591"/>
      <c s="250"/>
      <c s="503"/>
      <c s="503"/>
      <c s="503"/>
      <c s="229"/>
      <c s="503"/>
      <c s="228"/>
      <c s="228"/>
      <c s="228"/>
      <c s="228"/>
      <c r="IW5" s="510">
        <v>26</v>
      </c>
    </row>
    <row r="6" spans="1:22 257:257" s="1822" customFormat="1" ht="14.7" customHeight="1">
      <c r="A6" s="1158"/>
      <c s="1163"/>
      <c s="1158"/>
      <c s="1498"/>
      <c s="512"/>
      <c s="170"/>
      <c s="170"/>
      <c s="170"/>
      <c s="170"/>
      <c s="170"/>
      <c s="170"/>
      <c s="171"/>
      <c s="503"/>
      <c s="503"/>
      <c s="503"/>
      <c s="503"/>
      <c s="229"/>
      <c s="503"/>
      <c s="228"/>
      <c s="228"/>
      <c s="228"/>
      <c s="228"/>
      <c r="IW6" s="510">
        <v>14</v>
      </c>
    </row>
    <row r="7" spans="1:22 257:257" s="1822" customFormat="1" ht="14.7" customHeight="1">
      <c r="A7" s="1158"/>
      <c s="1163"/>
      <c s="1158"/>
      <c s="1498"/>
      <c s="2104" t="s">
        <v>300</v>
      </c>
      <c s="2105"/>
      <c s="2105"/>
      <c s="2105"/>
      <c s="2105"/>
      <c s="2105"/>
      <c s="2105"/>
      <c s="2477" t="s">
        <v>301</v>
      </c>
      <c s="503"/>
      <c s="503"/>
      <c s="503"/>
      <c s="503"/>
      <c s="229"/>
      <c s="503"/>
      <c s="228"/>
      <c s="228"/>
      <c s="228"/>
      <c s="228"/>
      <c r="IW7" s="510">
        <v>14</v>
      </c>
    </row>
    <row r="8" spans="1:22 257:257" s="1822" customFormat="1" ht="67.2" customHeight="1">
      <c r="A8" s="1158"/>
      <c s="1163"/>
      <c s="1158"/>
      <c s="1498"/>
      <c s="2481" t="s">
        <v>87</v>
      </c>
      <c s="2481" t="str">
        <f>"Наименование "&amp;IF(TEMPLATE_SPHERE="TKO","регионального органа регулирования (органа местного самоуправления)","органа "&amp;IF(TEMPLATE_SPHERE="HEAT","тарифного регулирования","регулирования тарифов"))</f>
        <v>Наименование органа регулирования тарифов</v>
      </c>
      <c s="2483" t="str">
        <f>"Заседание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на котором планируется рассмотрение дел об установлении "&amp;IF(TEMPLATE_SPHERE="TKO","предельных тарифов",IF(TEMPLATE_SPHERE="HEAT","цен (тарифов) в сфере теплоснабжения","тарифов в сфере водоснабжения и водоотведения"))</f>
        <v>Заседание правления (коллегии) органа регулирования тарифов, на котором планируется рассмотрение дел об установлении тарифов в сфере водоснабжения и водоотведения</v>
      </c>
      <c s="2484"/>
      <c s="2485"/>
      <c s="2481" t="str">
        <f>"Принятые "&amp;IF(TEMPLATE_SPHERE="TKO","региональным органом регулирования (органом местного самоуправления)","органом "&amp;IF(TEMPLATE_SPHERE="HEAT","тарифного регулирования","регулирования тарифов"))&amp;" решения об установлении "&amp;IF(TEMPLATE_SPHERE="TKO","предельных тарифов",IF(TEMPLATE_SPHERE="HEAT","цен (тарифов) в сфере теплоснабжения, а также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теплоснабжении""","тарифов в сфере водоснабжения и водоотведения"))</f>
        <v>Принятые органом регулирования тарифов решения об установлении тарифов в сфере водоснабжения и водоотведения</v>
      </c>
      <c s="2481"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регулирования тарифов, оформленный в соответствии 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v>
      </c>
      <c s="2479"/>
      <c s="503"/>
      <c s="503"/>
      <c s="503"/>
      <c s="503"/>
      <c s="229"/>
      <c s="503"/>
      <c s="228"/>
      <c s="228"/>
      <c s="228"/>
      <c s="228"/>
      <c r="IW8" s="510">
        <v>64</v>
      </c>
    </row>
    <row r="9" spans="1:22 257:257" s="1822" customFormat="1" ht="29.25" customHeight="1">
      <c r="A9" s="1158"/>
      <c s="1163"/>
      <c s="1158"/>
      <c s="1498"/>
      <c s="2482"/>
      <c s="2482"/>
      <c s="1540" t="s">
        <v>1874</v>
      </c>
      <c s="1540" t="s">
        <v>1875</v>
      </c>
      <c s="1540" t="s">
        <v>1876</v>
      </c>
      <c s="2482"/>
      <c s="2482"/>
      <c s="2478"/>
      <c s="503"/>
      <c s="503"/>
      <c s="503"/>
      <c s="503"/>
      <c s="229"/>
      <c s="503"/>
      <c s="228"/>
      <c s="228"/>
      <c s="228"/>
      <c s="228"/>
      <c r="IW9" s="510">
        <v>28</v>
      </c>
    </row>
    <row r="10" spans="1:83 257:257" s="1853" customFormat="1" ht="23.25" customHeight="1">
      <c r="A10" s="2102"/>
      <c s="1163">
        <v>1</v>
      </c>
      <c s="1163"/>
      <c s="803"/>
      <c s="801">
        <v>1</v>
      </c>
      <c s="1542" t="str">
        <f>IF(ROIV_INFO_NAME="","",ROIV_INFO_NAME)</f>
        <v>ГУП КК "Кубаньводкомплекс"</v>
      </c>
      <c s="1735" t="s">
        <v>22</v>
      </c>
      <c s="1919"/>
      <c s="1537"/>
      <c s="821"/>
      <c s="821"/>
      <c s="2435"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регулирования тарифов»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регулирования тарифов р… » и «Протокол заседания правления (коллегии) …» указываются ссылка на документ, предварительно загруженный в хранилище файлов ФГИС ЕИАС.</v>
      </c>
      <c s="1538">
        <f>MERGEVALUE(F10)</f>
      </c>
      <c s="514"/>
      <c s="514"/>
      <c s="503" t="str">
        <f t="array" ref="P10">IF(ISERROR(MATCH(MID(Q10,1,250),MID(note_ter,1,250),0)),"n","y")</f>
        <v>n</v>
      </c>
      <c s="514"/>
      <c s="503" t="str">
        <f>G10&amp;"("&amp;L10&amp;")"</f>
        <v>(В поле «Наименование органа регулирования тарифов»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регулирования тарифов р… » и «Протокол заседания правления (коллегии) …» указываются ссылка на документ, предварительно загруженный в хранилище файлов ФГИС ЕИАС.)</v>
      </c>
      <c s="1163"/>
      <c s="1163"/>
      <c s="423"/>
      <c s="1163"/>
      <c s="1163"/>
      <c s="1163"/>
      <c s="425"/>
      <c s="425"/>
      <c s="422"/>
      <c s="422"/>
      <c s="422"/>
      <c s="422"/>
      <c s="422"/>
      <c s="422"/>
      <c s="422"/>
      <c s="422"/>
      <c s="422"/>
      <c s="422"/>
      <c s="422"/>
      <c s="422"/>
      <c s="422"/>
      <c s="422"/>
      <c s="422"/>
      <c s="422"/>
      <c s="422"/>
      <c s="422"/>
      <c s="422"/>
      <c s="422"/>
      <c s="422"/>
      <c s="422"/>
      <c s="422"/>
      <c s="422"/>
      <c s="422"/>
      <c s="422"/>
      <c s="422"/>
      <c s="422"/>
      <c s="422"/>
      <c s="422"/>
      <c s="422"/>
      <c s="422"/>
      <c s="422"/>
      <c s="422"/>
      <c s="422"/>
      <c s="422"/>
      <c s="422"/>
      <c s="422"/>
      <c s="422"/>
      <c s="422"/>
      <c s="422"/>
      <c s="422"/>
      <c s="422"/>
      <c s="422"/>
      <c s="422"/>
      <c s="422"/>
      <c s="422"/>
      <c s="425"/>
      <c s="425"/>
      <c s="425"/>
      <c s="425"/>
      <c s="425"/>
      <c s="425"/>
      <c s="425"/>
      <c s="425"/>
      <c s="425"/>
      <c s="425"/>
      <c r="IW10" s="426">
        <v>22</v>
      </c>
    </row>
    <row r="11" spans="1:83 257:257" s="1853" customFormat="1" ht="15.75" customHeight="1">
      <c r="A11" s="2102"/>
      <c s="1163"/>
      <c s="415"/>
      <c s="804"/>
      <c s="424"/>
      <c s="419" t="s">
        <v>1877</v>
      </c>
      <c s="190"/>
      <c s="190"/>
      <c s="190"/>
      <c s="190"/>
      <c s="427"/>
      <c s="2480"/>
      <c s="1539"/>
      <c s="514"/>
      <c s="514"/>
      <c s="514"/>
      <c s="503"/>
      <c s="514"/>
      <c s="1163"/>
      <c s="1163"/>
      <c s="423"/>
      <c s="1163"/>
      <c s="1163"/>
      <c s="1163"/>
      <c s="425"/>
      <c s="425"/>
      <c s="422"/>
      <c s="422"/>
      <c s="422"/>
      <c s="422"/>
      <c s="422"/>
      <c s="422"/>
      <c s="422"/>
      <c s="422"/>
      <c s="422"/>
      <c s="422"/>
      <c s="422"/>
      <c s="422"/>
      <c s="422"/>
      <c s="422"/>
      <c s="422"/>
      <c s="422"/>
      <c s="422"/>
      <c s="422"/>
      <c s="422"/>
      <c s="422"/>
      <c s="422"/>
      <c s="422"/>
      <c s="422"/>
      <c s="422"/>
      <c s="422"/>
      <c s="422"/>
      <c s="422"/>
      <c s="422"/>
      <c s="422"/>
      <c s="422"/>
      <c s="422"/>
      <c s="422"/>
      <c s="422"/>
      <c s="422"/>
      <c s="422"/>
      <c s="422"/>
      <c s="422"/>
      <c s="422"/>
      <c s="422"/>
      <c s="422"/>
      <c s="422"/>
      <c s="422"/>
      <c s="422"/>
      <c s="422"/>
      <c s="422"/>
      <c s="422"/>
      <c s="422"/>
      <c s="425"/>
      <c s="425"/>
      <c s="425"/>
      <c s="425"/>
      <c s="425"/>
      <c s="425"/>
      <c s="425"/>
      <c s="425"/>
      <c s="425"/>
      <c s="425"/>
      <c r="IW11" s="426">
        <v>15</v>
      </c>
    </row>
    <row r="12" spans="1:22 257:257" s="1822" customFormat="1" ht="22.05" customHeight="1">
      <c r="A12" s="1158"/>
      <c s="1163"/>
      <c s="1158"/>
      <c s="454"/>
      <c s="183"/>
      <c s="183"/>
      <c s="183"/>
      <c s="183"/>
      <c s="183"/>
      <c s="183"/>
      <c s="183"/>
      <c s="183"/>
      <c s="503"/>
      <c s="503"/>
      <c s="503"/>
      <c s="503"/>
      <c s="229"/>
      <c s="503"/>
      <c s="228"/>
      <c s="228"/>
      <c s="228"/>
      <c s="228"/>
      <c r="IW12" s="510">
        <v>21</v>
      </c>
    </row>
    <row r="13" spans="1:22 257:257" s="1822" customFormat="1" ht="14.7" customHeight="1">
      <c r="A13" s="1158"/>
      <c s="1163"/>
      <c s="1158"/>
      <c s="454"/>
      <c s="1158"/>
      <c s="1158"/>
      <c s="1158"/>
      <c s="1158"/>
      <c s="1158"/>
      <c s="1158"/>
      <c s="1158"/>
      <c s="1158"/>
      <c s="503"/>
      <c s="503"/>
      <c s="503"/>
      <c s="503"/>
      <c s="229"/>
      <c s="503"/>
      <c s="228"/>
      <c s="228"/>
      <c s="228"/>
      <c s="228"/>
      <c r="IW13" s="510">
        <v>14</v>
      </c>
    </row>
    <row r="14" spans="1:22 257:257" s="1822" customFormat="1" ht="1.05" customHeight="1">
      <c r="A14" s="1158"/>
      <c s="1163"/>
      <c s="1158"/>
      <c s="454"/>
      <c s="1158"/>
      <c s="1158"/>
      <c s="1158"/>
      <c s="1158"/>
      <c s="1158"/>
      <c s="1158"/>
      <c s="1158"/>
      <c s="1158"/>
      <c s="503"/>
      <c s="503"/>
      <c s="503"/>
      <c s="503"/>
      <c s="229"/>
      <c s="503"/>
      <c s="228"/>
      <c s="228"/>
      <c s="228"/>
      <c s="228"/>
      <c r="IW14" s="510">
        <v>1</v>
      </c>
    </row>
    <row r="15" spans="1:257" ht="22.5" customHeight="1" hidden="1">
      <c r="A15" s="1158" t="s">
        <v>81</v>
      </c>
      <c s="1163">
        <v>0</v>
      </c>
      <c s="1158">
        <v>0</v>
      </c>
      <c s="454">
        <v>3</v>
      </c>
      <c s="1158">
        <v>6</v>
      </c>
      <c s="1158">
        <v>27</v>
      </c>
      <c s="1158">
        <v>16</v>
      </c>
      <c s="1158">
        <v>12</v>
      </c>
      <c s="1158">
        <v>32</v>
      </c>
      <c s="1158">
        <v>41</v>
      </c>
      <c s="1158">
        <v>41</v>
      </c>
      <c s="1158">
        <v>89</v>
      </c>
      <c s="503">
        <v>3</v>
      </c>
      <c s="503">
        <v>8</v>
      </c>
      <c s="503">
        <v>8</v>
      </c>
      <c s="503">
        <v>8</v>
      </c>
      <c s="229">
        <v>25</v>
      </c>
      <c s="503">
        <v>14</v>
      </c>
      <c s="228">
        <v>8</v>
      </c>
      <c s="228">
        <v>8</v>
      </c>
      <c s="228">
        <v>8</v>
      </c>
      <c s="228">
        <v>8</v>
      </c>
      <c s="1158">
        <v>8</v>
      </c>
      <c s="1158">
        <v>8</v>
      </c>
      <c s="1158">
        <v>8</v>
      </c>
      <c s="1158">
        <v>8</v>
      </c>
      <c s="1158">
        <v>8</v>
      </c>
      <c s="1158">
        <v>8</v>
      </c>
      <c s="1158">
        <v>8</v>
      </c>
      <c s="1158">
        <v>8</v>
      </c>
      <c s="1158">
        <v>8</v>
      </c>
      <c s="1158">
        <v>8</v>
      </c>
      <c s="1158">
        <v>8</v>
      </c>
      <c s="1158">
        <v>8</v>
      </c>
      <c s="1158">
        <v>8</v>
      </c>
      <c s="1158">
        <v>8</v>
      </c>
      <c s="1158">
        <v>8</v>
      </c>
      <c s="1158">
        <v>8</v>
      </c>
      <c s="1158">
        <v>8</v>
      </c>
      <c s="1158">
        <v>8</v>
      </c>
      <c s="1158">
        <v>8</v>
      </c>
      <c s="1158">
        <v>8</v>
      </c>
      <c s="1158">
        <v>8</v>
      </c>
      <c s="1158">
        <v>8</v>
      </c>
      <c s="1158">
        <v>8</v>
      </c>
      <c s="1158">
        <v>8</v>
      </c>
      <c s="1158">
        <v>8</v>
      </c>
      <c s="1158">
        <v>8</v>
      </c>
      <c s="1158">
        <v>8</v>
      </c>
      <c s="1158">
        <v>8</v>
      </c>
      <c s="1158">
        <v>8</v>
      </c>
      <c s="1158">
        <v>8</v>
      </c>
      <c s="1158">
        <v>8</v>
      </c>
      <c s="1158">
        <v>8</v>
      </c>
      <c s="1158">
        <v>8</v>
      </c>
      <c s="1158">
        <v>8</v>
      </c>
      <c s="1158">
        <v>8</v>
      </c>
      <c s="1158">
        <v>8</v>
      </c>
      <c s="1158">
        <v>8</v>
      </c>
      <c s="1158">
        <v>8</v>
      </c>
      <c s="1158">
        <v>8</v>
      </c>
      <c s="1158">
        <v>8</v>
      </c>
      <c s="1158">
        <v>8</v>
      </c>
      <c s="1158">
        <v>8</v>
      </c>
      <c s="1158">
        <v>8</v>
      </c>
      <c s="1158">
        <v>8</v>
      </c>
      <c s="1158">
        <v>8</v>
      </c>
      <c s="1158">
        <v>8</v>
      </c>
      <c s="1158">
        <v>8</v>
      </c>
      <c s="1158">
        <v>8</v>
      </c>
      <c s="1158">
        <v>8</v>
      </c>
      <c s="1158">
        <v>8</v>
      </c>
      <c s="1158">
        <v>8</v>
      </c>
      <c s="1158">
        <v>8</v>
      </c>
      <c s="1158">
        <v>8</v>
      </c>
      <c s="1158">
        <v>8</v>
      </c>
      <c s="1158">
        <v>8</v>
      </c>
      <c s="1158">
        <v>8</v>
      </c>
      <c s="1158">
        <v>8</v>
      </c>
      <c s="1158">
        <v>8</v>
      </c>
      <c s="1158">
        <v>8</v>
      </c>
      <c s="1158">
        <v>8</v>
      </c>
      <c s="1158">
        <v>8</v>
      </c>
      <c s="1158">
        <v>8</v>
      </c>
      <c s="1158">
        <v>8</v>
      </c>
      <c s="1158">
        <v>8</v>
      </c>
      <c s="1158">
        <v>8</v>
      </c>
      <c s="1158">
        <v>8</v>
      </c>
      <c s="1158">
        <v>8</v>
      </c>
      <c s="1158">
        <v>8</v>
      </c>
      <c s="1158">
        <v>8</v>
      </c>
      <c s="1158">
        <v>8</v>
      </c>
      <c s="1158">
        <v>8</v>
      </c>
      <c s="1158">
        <v>8</v>
      </c>
      <c s="1158">
        <v>8</v>
      </c>
      <c s="1158">
        <v>8</v>
      </c>
      <c s="1158">
        <v>8</v>
      </c>
      <c s="1158">
        <v>8</v>
      </c>
      <c s="1158">
        <v>8</v>
      </c>
      <c s="1158">
        <v>8</v>
      </c>
      <c s="1158">
        <v>8</v>
      </c>
      <c s="1158">
        <v>8</v>
      </c>
      <c s="1158">
        <v>8</v>
      </c>
      <c s="1158">
        <v>8</v>
      </c>
      <c s="1158">
        <v>8</v>
      </c>
      <c s="1158">
        <v>8</v>
      </c>
      <c s="1158">
        <v>8</v>
      </c>
      <c s="1158">
        <v>8</v>
      </c>
      <c s="1158">
        <v>8</v>
      </c>
      <c s="1158">
        <v>8</v>
      </c>
      <c s="1158">
        <v>8</v>
      </c>
      <c s="1158">
        <v>8</v>
      </c>
      <c s="1158">
        <v>8</v>
      </c>
      <c s="1158">
        <v>8</v>
      </c>
      <c s="1158">
        <v>8</v>
      </c>
      <c s="1158">
        <v>8</v>
      </c>
      <c s="1158">
        <v>8</v>
      </c>
      <c s="1158">
        <v>8</v>
      </c>
      <c s="1158">
        <v>8</v>
      </c>
      <c s="1158">
        <v>8</v>
      </c>
      <c s="1158">
        <v>8</v>
      </c>
      <c s="1158">
        <v>8</v>
      </c>
      <c s="1158">
        <v>8</v>
      </c>
      <c s="1158">
        <v>8</v>
      </c>
      <c s="1158">
        <v>8</v>
      </c>
      <c s="1158">
        <v>8</v>
      </c>
      <c s="1158">
        <v>8</v>
      </c>
      <c s="1158">
        <v>8</v>
      </c>
      <c s="1158">
        <v>8</v>
      </c>
      <c s="1158">
        <v>8</v>
      </c>
      <c s="1158">
        <v>8</v>
      </c>
      <c s="1158">
        <v>8</v>
      </c>
      <c s="1158">
        <v>8</v>
      </c>
      <c s="1158">
        <v>8</v>
      </c>
      <c s="1158">
        <v>8</v>
      </c>
      <c s="1158">
        <v>8</v>
      </c>
      <c s="1158">
        <v>8</v>
      </c>
      <c s="1158">
        <v>8</v>
      </c>
      <c s="1158">
        <v>8</v>
      </c>
      <c s="1158">
        <v>8</v>
      </c>
      <c s="1158">
        <v>8</v>
      </c>
      <c s="1158">
        <v>8</v>
      </c>
      <c s="1158">
        <v>8</v>
      </c>
      <c s="1158">
        <v>8</v>
      </c>
      <c s="1158">
        <v>8</v>
      </c>
      <c s="1158">
        <v>8</v>
      </c>
      <c s="1158">
        <v>8</v>
      </c>
      <c s="1158">
        <v>8</v>
      </c>
      <c s="1158">
        <v>8</v>
      </c>
      <c s="1158">
        <v>8</v>
      </c>
      <c s="1158">
        <v>8</v>
      </c>
      <c s="1158">
        <v>8</v>
      </c>
      <c s="1158">
        <v>8</v>
      </c>
      <c s="1158">
        <v>8</v>
      </c>
      <c s="1158">
        <v>8</v>
      </c>
      <c s="1158">
        <v>8</v>
      </c>
      <c s="1158">
        <v>8</v>
      </c>
      <c s="1158">
        <v>8</v>
      </c>
      <c s="1158">
        <v>8</v>
      </c>
      <c s="1158">
        <v>8</v>
      </c>
      <c s="1158">
        <v>8</v>
      </c>
      <c s="1158">
        <v>8</v>
      </c>
      <c s="1158">
        <v>8</v>
      </c>
      <c s="1158">
        <v>8</v>
      </c>
      <c s="1158">
        <v>8</v>
      </c>
      <c s="1158">
        <v>8</v>
      </c>
      <c s="1158">
        <v>8</v>
      </c>
      <c s="1158">
        <v>8</v>
      </c>
      <c s="1158">
        <v>8</v>
      </c>
      <c s="1158">
        <v>8</v>
      </c>
      <c s="1158">
        <v>8</v>
      </c>
      <c s="1158">
        <v>8</v>
      </c>
      <c s="1158">
        <v>8</v>
      </c>
      <c s="1158">
        <v>8</v>
      </c>
      <c s="1158">
        <v>8</v>
      </c>
      <c s="1158">
        <v>8</v>
      </c>
      <c s="1158">
        <v>8</v>
      </c>
      <c s="1158">
        <v>8</v>
      </c>
      <c s="1158">
        <v>8</v>
      </c>
      <c s="1158">
        <v>8</v>
      </c>
      <c s="1158">
        <v>8</v>
      </c>
      <c s="1158">
        <v>8</v>
      </c>
      <c s="1158">
        <v>8</v>
      </c>
      <c s="1158">
        <v>8</v>
      </c>
      <c s="1158">
        <v>8</v>
      </c>
      <c s="1158">
        <v>8</v>
      </c>
      <c s="1158">
        <v>8</v>
      </c>
      <c s="1158">
        <v>8</v>
      </c>
      <c s="1158">
        <v>8</v>
      </c>
      <c s="1158">
        <v>8</v>
      </c>
      <c s="1158">
        <v>8</v>
      </c>
      <c s="1158">
        <v>8</v>
      </c>
      <c s="1158">
        <v>8</v>
      </c>
      <c s="1158">
        <v>8</v>
      </c>
      <c s="1158">
        <v>8</v>
      </c>
      <c s="1158">
        <v>8</v>
      </c>
      <c s="1158">
        <v>8</v>
      </c>
      <c s="1158">
        <v>8</v>
      </c>
      <c s="1158">
        <v>8</v>
      </c>
      <c s="1158">
        <v>8</v>
      </c>
      <c s="1158">
        <v>8</v>
      </c>
      <c s="1158">
        <v>8</v>
      </c>
      <c s="1158">
        <v>8</v>
      </c>
      <c s="1158">
        <v>8</v>
      </c>
      <c s="1158">
        <v>8</v>
      </c>
      <c s="1158">
        <v>8</v>
      </c>
      <c s="1158">
        <v>8</v>
      </c>
      <c s="1158">
        <v>8</v>
      </c>
      <c s="1158">
        <v>8</v>
      </c>
      <c s="1158">
        <v>8</v>
      </c>
      <c s="1158">
        <v>8</v>
      </c>
      <c s="1158">
        <v>8</v>
      </c>
      <c s="1158">
        <v>8</v>
      </c>
      <c s="1158">
        <v>8</v>
      </c>
      <c s="1158">
        <v>8</v>
      </c>
      <c s="1158">
        <v>8</v>
      </c>
      <c s="1158">
        <v>8</v>
      </c>
      <c s="1158">
        <v>8</v>
      </c>
      <c s="1158">
        <v>8</v>
      </c>
      <c s="1158">
        <v>8</v>
      </c>
      <c s="1158">
        <v>8</v>
      </c>
      <c s="1158">
        <v>8</v>
      </c>
      <c s="1158">
        <v>8</v>
      </c>
      <c s="1158">
        <v>8</v>
      </c>
      <c s="1158">
        <v>8</v>
      </c>
      <c s="1158">
        <v>8</v>
      </c>
      <c s="1158">
        <v>8</v>
      </c>
      <c s="1158">
        <v>8</v>
      </c>
      <c s="1158">
        <v>8</v>
      </c>
      <c s="1158">
        <v>8</v>
      </c>
      <c s="1158">
        <v>8</v>
      </c>
      <c s="1158">
        <v>8</v>
      </c>
      <c s="1158">
        <v>8</v>
      </c>
      <c s="1158">
        <v>8</v>
      </c>
      <c s="1158">
        <v>8</v>
      </c>
      <c s="1158">
        <v>8</v>
      </c>
      <c s="1158">
        <v>8</v>
      </c>
      <c s="1158">
        <v>8</v>
      </c>
      <c s="1158">
        <v>8</v>
      </c>
      <c s="1158">
        <v>8</v>
      </c>
      <c s="1158">
        <v>8</v>
      </c>
      <c s="1158">
        <v>8</v>
      </c>
      <c s="1158">
        <v>8</v>
      </c>
      <c s="1158">
        <v>8</v>
      </c>
      <c s="1158">
        <v>8</v>
      </c>
      <c s="1158">
        <v>8</v>
      </c>
      <c s="1158">
        <v>8</v>
      </c>
      <c s="1158">
        <v>8</v>
      </c>
      <c s="1158">
        <v>8</v>
      </c>
      <c s="1158">
        <v>8</v>
      </c>
      <c s="1158">
        <v>8</v>
      </c>
      <c s="1158">
        <v>8</v>
      </c>
      <c s="1158">
        <v>8</v>
      </c>
      <c s="1158">
        <v>8</v>
      </c>
      <c s="1158">
        <v>8</v>
      </c>
      <c s="1158">
        <v>8</v>
      </c>
      <c s="1158">
        <v>23</v>
      </c>
    </row>
  </sheetData>
  <sheetProtection formatColumns="0" formatRows="0" insertRows="0" deleteColumns="0" deleteRows="0" sort="0" autoFilter="0"/>
  <mergeCells count="10">
    <mergeCell ref="L7:L9"/>
    <mergeCell ref="E7:K7"/>
    <mergeCell ref="A10:A11"/>
    <mergeCell ref="L10:L11"/>
    <mergeCell ref="E5:K5"/>
    <mergeCell ref="F8:F9"/>
    <mergeCell ref="E8:E9"/>
    <mergeCell ref="G8:I8"/>
    <mergeCell ref="J8:J9"/>
    <mergeCell ref="K8:K9"/>
  </mergeCells>
  <dataValidations count="5">
    <dataValidation type="textLength" operator="lessThanOrEqual" allowBlank="1" showInputMessage="1" showErrorMessage="1" sqref="I2 I10">
      <formula1>990</formula1>
    </dataValidation>
    <dataValidation type="time" allowBlank="1" showInputMessage="1" showErrorMessage="1" prompt="Укажите время в формате ЧЧ:ММ" sqref="H2 H10">
      <formula1>0</formula1>
      <formula2>0.999305555555556</formula2>
    </dataValidation>
    <dataValidation type="textLength" operator="lessThanOrEqual" allowBlank="1" showInputMessage="1" showErrorMessage="1" prompt="Введите ссылку на обосновывающие материалы, загруженные с помощью &quot;ЕИАС Web&quot;." errorTitle="Ошибка" error="Допускается ввод не более 900 символов!" sqref="J2:K3 J10:K10">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G10"/>
    <dataValidation type="textLength" allowBlank="1" showInputMessage="1" showErrorMessage="1" sqref="H3:I3">
      <formula1>13</formula1>
      <formula2>15</formula2>
    </dataValidation>
  </dataValidations>
  <pageMargins left="0.7" right="0.7" top="0.75" bottom="0.75" header="0.3" footer="0.3"/>
  <pageSetup orientation="portrait"/>
</worksheet>
</file>

<file path=xl/worksheets/sheet5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m="http://schemas.microsoft.com/office/excel/2006/main" xmlns:x14ac="http://schemas.microsoft.com/office/spreadsheetml/2009/9/ac" xmlns:xr="http://schemas.microsoft.com/office/spreadsheetml/2014/revision" xmlns:xr2="http://schemas.microsoft.com/office/spreadsheetml/2015/revision2" xmlns:xr3="http://schemas.microsoft.com/office/spreadsheetml/2016/revision3" xr:uid="{5B9858C7-644B-E42D-147D-A9192673574B}" mc:Ignorable="x14ac xr xr2 xr3">
  <dimension ref="A1:IW15"/>
  <sheetViews>
    <sheetView showGridLines="0" zoomScale="90" zoomScaleNormal="90" workbookViewId="0" topLeftCell="A1">
      <pane xSplit="6" ySplit="9" topLeftCell="G10" activePane="bottomRight" state="frozen"/>
      <selection pane="topLeft" activeCell="A1" sqref="A1"/>
      <selection pane="bottomLeft" activeCell="A10" sqref="A10"/>
      <selection pane="topRight" activeCell="G1" sqref="G1"/>
      <selection pane="bottomRight" activeCell="A1" sqref="A1"/>
    </sheetView>
  </sheetViews>
  <sheetFormatPr defaultColWidth="9.14428571428571" defaultRowHeight="14.25" customHeight="1"/>
  <cols>
    <col min="1" max="1" width="9.14285714285714" style="1638" hidden="1"/>
    <col min="2" max="2" width="9.14285714285714" style="1369" hidden="1"/>
    <col min="3" max="3" width="3.71428571428571" style="1638" hidden="1" customWidth="1"/>
    <col min="4" max="4" width="3" style="1845" customWidth="1"/>
    <col min="5" max="5" width="6" style="1638" customWidth="1"/>
    <col min="6" max="6" width="27" style="1638" customWidth="1"/>
    <col min="7" max="7" width="16" style="1638" customWidth="1"/>
    <col min="8" max="8" width="12" style="1638" customWidth="1"/>
    <col min="9" max="9" width="32" style="1638" customWidth="1"/>
    <col min="10" max="11" width="41" style="1638" customWidth="1"/>
    <col min="12" max="12" width="89" style="1638" customWidth="1"/>
    <col min="13" max="13" width="3" style="1627" customWidth="1"/>
    <col min="14" max="16" width="8" style="1627" customWidth="1"/>
    <col min="17" max="17" width="25" style="1627" customWidth="1"/>
    <col min="18" max="18" width="14" style="1627" customWidth="1"/>
    <col min="19" max="22" width="8" style="228" customWidth="1"/>
    <col min="23" max="256" width="8" style="1638" customWidth="1"/>
    <col min="257" max="257" width="9.14285714285714" style="1638" hidden="1"/>
  </cols>
  <sheetData>
    <row r="1" spans="257:257" ht="22.5" customHeight="1" hidden="1">
      <c r="IW1" s="1634" t="s">
        <v>14</v>
      </c>
    </row>
    <row r="2" spans="1:83 257:257" s="1853" customFormat="1" ht="22.5" customHeight="1" hidden="1">
      <c r="A2" s="834"/>
      <c s="1369">
        <v>1</v>
      </c>
      <c s="1369"/>
      <c s="1931" t="s">
        <v>689</v>
      </c>
      <c s="1907"/>
      <c s="1909" t="str">
        <f>IF(ROIV_INFO_NAME="","",ROIV_INFO_NAME)</f>
        <v>ГУП КК "Кубаньводкомплекс"</v>
      </c>
      <c s="1735" t="s">
        <v>22</v>
      </c>
      <c s="1919"/>
      <c s="1541"/>
      <c s="821"/>
      <c s="821"/>
      <c s="231"/>
      <c s="1538">
        <f>MERGEVALUE(F2)</f>
      </c>
      <c s="1639"/>
      <c s="1639"/>
      <c s="1627" t="str">
        <f t="array" ref="P2">IF(ISERROR(MATCH(MID(Q2,1,250),MID(note_ter,1,250),0)),"n","y")</f>
        <v>n</v>
      </c>
      <c s="1639"/>
      <c s="1627" t="str">
        <f>G2&amp;"("&amp;L2&amp;")"</f>
        <v>()</v>
      </c>
      <c s="1369"/>
      <c s="1369"/>
      <c s="423"/>
      <c s="1369"/>
      <c s="1369"/>
      <c s="1369"/>
      <c s="836"/>
      <c s="836"/>
      <c s="630"/>
      <c s="630"/>
      <c s="630"/>
      <c s="630"/>
      <c s="630"/>
      <c s="630"/>
      <c s="630"/>
      <c s="630"/>
      <c s="630"/>
      <c s="630"/>
      <c s="630"/>
      <c s="630"/>
      <c s="630"/>
      <c s="630"/>
      <c s="630"/>
      <c s="630"/>
      <c s="630"/>
      <c s="630"/>
      <c s="630"/>
      <c s="630"/>
      <c s="630"/>
      <c s="630"/>
      <c s="630"/>
      <c s="630"/>
      <c s="630"/>
      <c s="630"/>
      <c s="630"/>
      <c s="630"/>
      <c s="630"/>
      <c s="630"/>
      <c s="630"/>
      <c s="630"/>
      <c s="630"/>
      <c s="630"/>
      <c s="630"/>
      <c s="630"/>
      <c s="630"/>
      <c s="630"/>
      <c s="630"/>
      <c s="630"/>
      <c s="630"/>
      <c s="630"/>
      <c s="630"/>
      <c s="630"/>
      <c s="630"/>
      <c s="630"/>
      <c s="630"/>
      <c s="836"/>
      <c s="836"/>
      <c s="836"/>
      <c s="836"/>
      <c s="836"/>
      <c s="836"/>
      <c s="836"/>
      <c s="836"/>
      <c s="836"/>
      <c s="836"/>
      <c r="IW2" s="627">
        <v>0</v>
      </c>
    </row>
    <row r="3" spans="1:257" s="1645" customFormat="1" ht="5.25" customHeight="1" hidden="1">
      <c r="A3" s="1644"/>
      <c r="D3" s="1896"/>
      <c r="F3" s="251" t="s">
        <v>82</v>
      </c>
      <c s="1738" t="s">
        <v>83</v>
      </c>
      <c s="1896"/>
      <c s="1896"/>
      <c s="1896"/>
      <c s="1896"/>
      <c s="230" t="s">
        <v>84</v>
      </c>
      <c s="251" t="s">
        <v>82</v>
      </c>
      <c s="251"/>
      <c s="251"/>
      <c s="251"/>
      <c s="251"/>
      <c s="251"/>
      <c s="251"/>
      <c s="251"/>
      <c s="251"/>
      <c s="251"/>
      <c s="230"/>
      <c s="230"/>
      <c s="230"/>
      <c s="230"/>
      <c s="230"/>
      <c s="230"/>
      <c s="230"/>
      <c s="230"/>
      <c s="230"/>
      <c s="230"/>
      <c s="230"/>
      <c s="230"/>
      <c s="230"/>
      <c s="230"/>
      <c s="230"/>
      <c s="230"/>
      <c s="230"/>
      <c s="230"/>
      <c s="230"/>
      <c s="230"/>
      <c s="230"/>
      <c s="230"/>
      <c s="230"/>
      <c s="230"/>
      <c s="230"/>
      <c s="230"/>
      <c s="230"/>
      <c s="230"/>
      <c s="230"/>
      <c s="230"/>
      <c s="230"/>
      <c s="230"/>
      <c s="230"/>
      <c s="230"/>
      <c s="230"/>
      <c s="230"/>
      <c s="230"/>
      <c s="230"/>
      <c s="230"/>
      <c s="230"/>
      <c s="230"/>
      <c s="230"/>
      <c s="230"/>
      <c s="230"/>
      <c s="230"/>
      <c s="230"/>
      <c s="230"/>
      <c s="230"/>
      <c s="230"/>
      <c s="230"/>
      <c s="230"/>
      <c s="230"/>
      <c s="230"/>
      <c s="230"/>
      <c s="230"/>
      <c s="230"/>
      <c s="230"/>
      <c s="230"/>
      <c s="230"/>
      <c s="230"/>
      <c s="230"/>
      <c s="230"/>
      <c s="230"/>
      <c s="230"/>
      <c s="230"/>
      <c s="230"/>
      <c s="230"/>
      <c s="230"/>
      <c s="230"/>
      <c s="230"/>
      <c s="230"/>
      <c s="230"/>
      <c s="230"/>
      <c s="230"/>
      <c s="230"/>
      <c s="230"/>
      <c s="230"/>
      <c s="230"/>
      <c s="230"/>
      <c s="230"/>
      <c s="230"/>
      <c s="230"/>
      <c s="230"/>
      <c s="230"/>
      <c s="230"/>
      <c s="230"/>
      <c s="230"/>
      <c s="230"/>
      <c s="230"/>
      <c s="230"/>
      <c s="230"/>
      <c s="230"/>
      <c s="230"/>
      <c s="230"/>
      <c s="230"/>
      <c s="230"/>
      <c s="230"/>
      <c s="230"/>
      <c s="230"/>
      <c s="230"/>
      <c s="230"/>
      <c s="230"/>
      <c s="230"/>
      <c s="230"/>
      <c s="230"/>
      <c s="230"/>
      <c s="230"/>
      <c s="230"/>
      <c s="230"/>
      <c s="230"/>
      <c s="230"/>
      <c s="230"/>
      <c s="230"/>
      <c s="230"/>
      <c s="230"/>
      <c s="230"/>
      <c s="230"/>
      <c s="230"/>
      <c s="230"/>
      <c s="230"/>
      <c s="230"/>
      <c s="230"/>
      <c s="230"/>
      <c s="230"/>
      <c s="230"/>
      <c s="230"/>
      <c s="230"/>
      <c s="230"/>
      <c s="230"/>
      <c s="230"/>
      <c s="230"/>
      <c s="230"/>
      <c s="230"/>
      <c s="230"/>
      <c s="230"/>
      <c s="230"/>
      <c s="230"/>
      <c s="230"/>
      <c s="230"/>
      <c s="230"/>
      <c s="230"/>
      <c s="230"/>
      <c s="230"/>
      <c s="230"/>
      <c s="230"/>
      <c s="230"/>
      <c s="230"/>
      <c s="230"/>
      <c s="230"/>
      <c s="230"/>
      <c s="230"/>
      <c s="230"/>
      <c s="230"/>
      <c s="230"/>
      <c s="230"/>
      <c s="230"/>
      <c s="230"/>
      <c s="230"/>
      <c s="230"/>
      <c s="230"/>
      <c s="230"/>
      <c s="230"/>
      <c s="230"/>
      <c s="230"/>
      <c s="230"/>
      <c s="230"/>
      <c s="230"/>
      <c s="230"/>
      <c s="230"/>
      <c s="230"/>
      <c s="230"/>
      <c s="230"/>
      <c s="230"/>
      <c s="230"/>
      <c s="230"/>
      <c s="230"/>
      <c s="230"/>
      <c s="230"/>
      <c s="230"/>
      <c s="230"/>
      <c s="230"/>
      <c s="230"/>
      <c s="230"/>
      <c s="230"/>
      <c s="230"/>
      <c s="230"/>
      <c s="230"/>
      <c s="230"/>
      <c s="230"/>
      <c s="230"/>
      <c s="230"/>
      <c s="230"/>
      <c s="230"/>
      <c s="230"/>
      <c s="230"/>
      <c s="230"/>
      <c s="230"/>
      <c s="230"/>
      <c s="230"/>
      <c s="230"/>
      <c s="230"/>
      <c s="230"/>
      <c s="230"/>
      <c s="230"/>
      <c s="230"/>
      <c s="230"/>
      <c s="230"/>
      <c s="230"/>
      <c s="230"/>
      <c s="230"/>
      <c s="230"/>
      <c s="230"/>
      <c s="230"/>
      <c s="230"/>
      <c s="230"/>
      <c s="230"/>
      <c s="230"/>
      <c s="230"/>
      <c s="230"/>
      <c s="230"/>
      <c s="230"/>
      <c s="230"/>
      <c s="230"/>
      <c s="230"/>
      <c s="230"/>
      <c s="230"/>
      <c s="230"/>
      <c s="230"/>
      <c s="230"/>
      <c s="230"/>
      <c s="230"/>
      <c s="230"/>
      <c s="230"/>
      <c s="230"/>
      <c s="1639">
        <v>0</v>
      </c>
    </row>
    <row r="4" spans="1:22 257:257" s="1822" customFormat="1" ht="14.7" customHeight="1">
      <c r="A4" s="1634"/>
      <c s="1369"/>
      <c s="1634"/>
      <c s="1518"/>
      <c s="1638"/>
      <c s="1638"/>
      <c s="1638"/>
      <c s="1638"/>
      <c s="1638"/>
      <c s="1638"/>
      <c s="1638"/>
      <c s="1898"/>
      <c s="251"/>
      <c s="1627"/>
      <c s="1627"/>
      <c s="1627"/>
      <c s="1627"/>
      <c s="1627"/>
      <c s="228"/>
      <c s="228"/>
      <c s="228"/>
      <c s="228"/>
      <c r="IW4" s="1612">
        <v>14</v>
      </c>
    </row>
    <row r="5" spans="1:22 257:257" s="1822" customFormat="1" ht="27.3" customHeight="1">
      <c r="A5" s="1634"/>
      <c s="1369"/>
      <c s="1634"/>
      <c s="1518"/>
      <c s="2103" t="str">
        <f>"Форма "&amp;IF(TEMPLATE_SPHERE="HEAT","4","3")&amp;". Информация о рассмотрении дел об установлении "&amp;IF(TEMPLATE_SPHERE="TKO","предельных тарифов","тарифов в сфере "&amp;TEMPLATE_SPHERE_RUS)</f>
        <v>Форма 3. Информация о рассмотрении дел об установлении тарифов в сфере водоотведения</v>
      </c>
      <c s="2103"/>
      <c s="2103"/>
      <c s="2103"/>
      <c s="2103"/>
      <c s="2103"/>
      <c s="2103"/>
      <c s="1638"/>
      <c s="251"/>
      <c s="1627"/>
      <c s="1627"/>
      <c s="1627"/>
      <c s="1627"/>
      <c s="1627"/>
      <c s="228"/>
      <c s="228"/>
      <c s="228"/>
      <c s="228"/>
      <c r="IW5" s="1612">
        <v>26</v>
      </c>
    </row>
    <row r="6" spans="1:22 257:257" s="1822" customFormat="1" ht="14.7" customHeight="1">
      <c r="A6" s="1634"/>
      <c s="1369"/>
      <c s="1634"/>
      <c s="1518"/>
      <c s="1638"/>
      <c s="619"/>
      <c s="619"/>
      <c s="619"/>
      <c s="619"/>
      <c s="619"/>
      <c s="619"/>
      <c s="1255"/>
      <c s="1627"/>
      <c s="1627"/>
      <c s="1627"/>
      <c s="1627"/>
      <c s="1627"/>
      <c s="1627"/>
      <c s="228"/>
      <c s="228"/>
      <c s="228"/>
      <c s="228"/>
      <c r="IW6" s="1612">
        <v>14</v>
      </c>
    </row>
    <row r="7" spans="1:22 257:257" s="1822" customFormat="1" ht="14.7" customHeight="1">
      <c r="A7" s="1634"/>
      <c s="1369"/>
      <c s="1634"/>
      <c s="1518"/>
      <c s="2104" t="s">
        <v>300</v>
      </c>
      <c s="2105"/>
      <c s="2105"/>
      <c s="2105"/>
      <c s="2105"/>
      <c s="2105"/>
      <c s="2105"/>
      <c s="2477" t="s">
        <v>301</v>
      </c>
      <c s="1627"/>
      <c s="1627"/>
      <c s="1627"/>
      <c s="1627"/>
      <c s="1627"/>
      <c s="1627"/>
      <c s="228"/>
      <c s="228"/>
      <c s="228"/>
      <c s="228"/>
      <c r="IW7" s="1612">
        <v>14</v>
      </c>
    </row>
    <row r="8" spans="1:22 257:257" s="1822" customFormat="1" ht="67.2" customHeight="1">
      <c r="A8" s="1634"/>
      <c s="1369"/>
      <c s="1634"/>
      <c s="1518"/>
      <c s="2481" t="s">
        <v>87</v>
      </c>
      <c s="2481" t="s">
        <v>1878</v>
      </c>
      <c s="2483" t="s">
        <v>1879</v>
      </c>
      <c s="2484"/>
      <c s="2485"/>
      <c s="2481" t="s">
        <v>1880</v>
      </c>
      <c s="2481"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регулирования тарифов, оформленный в соответствии 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v>
      </c>
      <c s="2479"/>
      <c s="1627"/>
      <c s="1627"/>
      <c s="1627"/>
      <c s="1627"/>
      <c s="1627"/>
      <c s="1627"/>
      <c s="228"/>
      <c s="228"/>
      <c s="228"/>
      <c s="228"/>
      <c r="IW8" s="1612">
        <v>64</v>
      </c>
    </row>
    <row r="9" spans="1:22 257:257" s="1822" customFormat="1" ht="29.25" customHeight="1">
      <c r="A9" s="1634"/>
      <c s="1369"/>
      <c s="1634"/>
      <c s="1518"/>
      <c s="2482"/>
      <c s="2482"/>
      <c s="1897" t="s">
        <v>1874</v>
      </c>
      <c s="1897" t="s">
        <v>1875</v>
      </c>
      <c s="1897" t="s">
        <v>1876</v>
      </c>
      <c s="2482"/>
      <c s="2482"/>
      <c s="2478"/>
      <c s="1627"/>
      <c s="1627"/>
      <c s="1627"/>
      <c s="1627"/>
      <c s="1627"/>
      <c s="1627"/>
      <c s="228"/>
      <c s="228"/>
      <c s="228"/>
      <c s="228"/>
      <c r="IW9" s="1612">
        <v>28</v>
      </c>
    </row>
    <row r="10" spans="1:83 257:257" s="1853" customFormat="1" ht="1.05" customHeight="1">
      <c r="A10" s="2102"/>
      <c s="1369">
        <v>1</v>
      </c>
      <c s="1369"/>
      <c s="803"/>
      <c s="798">
        <v>0</v>
      </c>
      <c s="1894" t="str">
        <f>IF(ROIV_INFO_NAME="","",ROIV_INFO_NAME)</f>
        <v>ГУП КК "Кубаньводкомплекс"</v>
      </c>
      <c s="1736" t="s">
        <v>22</v>
      </c>
      <c s="1906"/>
      <c s="1906"/>
      <c s="522"/>
      <c s="522"/>
      <c s="2435"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s="1538">
        <f>MERGEVALUE(F10)</f>
      </c>
      <c s="1639"/>
      <c s="1639"/>
      <c s="1627" t="str">
        <f t="array" ref="P10">IF(ISERROR(MATCH(MID(Q10,1,250),MID(note_ter,1,250),0)),"n","y")</f>
        <v>n</v>
      </c>
      <c s="1639"/>
      <c s="1627" t="str">
        <f>G10&amp;"("&amp;L10&amp;")"</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s="1369"/>
      <c s="1369"/>
      <c s="423"/>
      <c s="1369"/>
      <c s="1369"/>
      <c s="1369"/>
      <c s="836"/>
      <c s="836"/>
      <c s="630"/>
      <c s="630"/>
      <c s="630"/>
      <c s="630"/>
      <c s="630"/>
      <c s="630"/>
      <c s="630"/>
      <c s="630"/>
      <c s="630"/>
      <c s="630"/>
      <c s="630"/>
      <c s="630"/>
      <c s="630"/>
      <c s="630"/>
      <c s="630"/>
      <c s="630"/>
      <c s="630"/>
      <c s="630"/>
      <c s="630"/>
      <c s="630"/>
      <c s="630"/>
      <c s="630"/>
      <c s="630"/>
      <c s="630"/>
      <c s="630"/>
      <c s="630"/>
      <c s="630"/>
      <c s="630"/>
      <c s="630"/>
      <c s="630"/>
      <c s="630"/>
      <c s="630"/>
      <c s="630"/>
      <c s="630"/>
      <c s="630"/>
      <c s="630"/>
      <c s="630"/>
      <c s="630"/>
      <c s="630"/>
      <c s="630"/>
      <c s="630"/>
      <c s="630"/>
      <c s="630"/>
      <c s="630"/>
      <c s="630"/>
      <c s="630"/>
      <c s="630"/>
      <c s="836"/>
      <c s="836"/>
      <c s="836"/>
      <c s="836"/>
      <c s="836"/>
      <c s="836"/>
      <c s="836"/>
      <c s="836"/>
      <c s="836"/>
      <c s="836"/>
      <c r="IW10" s="627">
        <v>1</v>
      </c>
    </row>
    <row r="11" spans="1:83 257:257" s="1853" customFormat="1" ht="15.75" customHeight="1">
      <c r="A11" s="2102"/>
      <c s="1369"/>
      <c s="415"/>
      <c s="804"/>
      <c s="424"/>
      <c s="654" t="s">
        <v>1877</v>
      </c>
      <c s="190"/>
      <c s="190"/>
      <c s="190"/>
      <c s="190"/>
      <c s="427"/>
      <c s="2480"/>
      <c s="1539"/>
      <c s="1639"/>
      <c s="1639"/>
      <c s="1639"/>
      <c s="1627"/>
      <c s="1639"/>
      <c s="1369"/>
      <c s="1369"/>
      <c s="423"/>
      <c s="1369"/>
      <c s="1369"/>
      <c s="1369"/>
      <c s="836"/>
      <c s="836"/>
      <c s="630"/>
      <c s="630"/>
      <c s="630"/>
      <c s="630"/>
      <c s="630"/>
      <c s="630"/>
      <c s="630"/>
      <c s="630"/>
      <c s="630"/>
      <c s="630"/>
      <c s="630"/>
      <c s="630"/>
      <c s="630"/>
      <c s="630"/>
      <c s="630"/>
      <c s="630"/>
      <c s="630"/>
      <c s="630"/>
      <c s="630"/>
      <c s="630"/>
      <c s="630"/>
      <c s="630"/>
      <c s="630"/>
      <c s="630"/>
      <c s="630"/>
      <c s="630"/>
      <c s="630"/>
      <c s="630"/>
      <c s="630"/>
      <c s="630"/>
      <c s="630"/>
      <c s="630"/>
      <c s="630"/>
      <c s="630"/>
      <c s="630"/>
      <c s="630"/>
      <c s="630"/>
      <c s="630"/>
      <c s="630"/>
      <c s="630"/>
      <c s="630"/>
      <c s="630"/>
      <c s="630"/>
      <c s="630"/>
      <c s="630"/>
      <c s="630"/>
      <c s="630"/>
      <c s="836"/>
      <c s="836"/>
      <c s="836"/>
      <c s="836"/>
      <c s="836"/>
      <c s="836"/>
      <c s="836"/>
      <c s="836"/>
      <c s="836"/>
      <c s="836"/>
      <c r="IW11" s="627">
        <v>15</v>
      </c>
    </row>
    <row r="12" spans="1:22 257:257" s="1822" customFormat="1" ht="22.05" customHeight="1">
      <c r="A12" s="1634"/>
      <c s="1369"/>
      <c s="1634"/>
      <c s="1636"/>
      <c s="183"/>
      <c s="183"/>
      <c s="183"/>
      <c s="183"/>
      <c s="183"/>
      <c s="183"/>
      <c s="183"/>
      <c s="183"/>
      <c s="1627"/>
      <c s="1627"/>
      <c s="1627"/>
      <c s="1627"/>
      <c s="1627"/>
      <c s="1627"/>
      <c s="228"/>
      <c s="228"/>
      <c s="228"/>
      <c s="228"/>
      <c r="IW12" s="1612">
        <v>21</v>
      </c>
    </row>
    <row r="13" spans="1:22 257:257" s="1822" customFormat="1" ht="14.7" customHeight="1">
      <c r="A13" s="1634"/>
      <c s="1369"/>
      <c s="1634"/>
      <c s="1636"/>
      <c s="1634"/>
      <c s="1634"/>
      <c s="1634"/>
      <c s="1634"/>
      <c s="1634"/>
      <c s="1634"/>
      <c s="1634"/>
      <c s="1634"/>
      <c s="1627"/>
      <c s="1627"/>
      <c s="1627"/>
      <c s="1627"/>
      <c s="1627"/>
      <c s="1627"/>
      <c s="228"/>
      <c s="228"/>
      <c s="228"/>
      <c s="228"/>
      <c r="IW13" s="1612">
        <v>14</v>
      </c>
    </row>
    <row r="14" spans="1:22 257:257" s="1822" customFormat="1" ht="1.05" customHeight="1">
      <c r="A14" s="1634"/>
      <c s="1369"/>
      <c s="1634"/>
      <c s="1636"/>
      <c s="1634"/>
      <c s="1634"/>
      <c s="1634"/>
      <c s="1634"/>
      <c s="1634"/>
      <c s="1634"/>
      <c s="1634"/>
      <c s="1634"/>
      <c s="1627"/>
      <c s="1627"/>
      <c s="1627"/>
      <c s="1627"/>
      <c s="1627"/>
      <c s="1627"/>
      <c s="228"/>
      <c s="228"/>
      <c s="228"/>
      <c s="228"/>
      <c r="IW14" s="1612">
        <v>1</v>
      </c>
    </row>
    <row r="15" spans="1:257" ht="22.5" customHeight="1" hidden="1">
      <c r="A15" s="1634" t="s">
        <v>81</v>
      </c>
      <c s="1369">
        <v>0</v>
      </c>
      <c s="1634">
        <v>0</v>
      </c>
      <c s="1636">
        <v>3</v>
      </c>
      <c s="1634">
        <v>6</v>
      </c>
      <c s="1634">
        <v>27</v>
      </c>
      <c s="1634">
        <v>16</v>
      </c>
      <c s="1634">
        <v>12</v>
      </c>
      <c s="1634">
        <v>32</v>
      </c>
      <c s="1634">
        <v>41</v>
      </c>
      <c s="1634">
        <v>41</v>
      </c>
      <c s="1634">
        <v>89</v>
      </c>
      <c s="1627">
        <v>3</v>
      </c>
      <c s="1627">
        <v>8</v>
      </c>
      <c s="1627">
        <v>8</v>
      </c>
      <c s="1627">
        <v>8</v>
      </c>
      <c s="1627">
        <v>25</v>
      </c>
      <c s="1627">
        <v>14</v>
      </c>
      <c s="228">
        <v>8</v>
      </c>
      <c s="228">
        <v>8</v>
      </c>
      <c s="228">
        <v>8</v>
      </c>
      <c s="228">
        <v>8</v>
      </c>
      <c s="1634">
        <v>8</v>
      </c>
      <c s="1634">
        <v>8</v>
      </c>
      <c s="1634">
        <v>8</v>
      </c>
      <c s="1634">
        <v>8</v>
      </c>
      <c s="1634">
        <v>8</v>
      </c>
      <c s="1634">
        <v>8</v>
      </c>
      <c s="1634">
        <v>8</v>
      </c>
      <c s="1634">
        <v>8</v>
      </c>
      <c s="1634">
        <v>8</v>
      </c>
      <c s="1634">
        <v>8</v>
      </c>
      <c s="1634">
        <v>8</v>
      </c>
      <c s="1634">
        <v>8</v>
      </c>
      <c s="1634">
        <v>8</v>
      </c>
      <c s="1634">
        <v>8</v>
      </c>
      <c s="1634">
        <v>8</v>
      </c>
      <c s="1634">
        <v>8</v>
      </c>
      <c s="1634">
        <v>8</v>
      </c>
      <c s="1634">
        <v>8</v>
      </c>
      <c s="1634">
        <v>8</v>
      </c>
      <c s="1634">
        <v>8</v>
      </c>
      <c s="1634">
        <v>8</v>
      </c>
      <c s="1634">
        <v>8</v>
      </c>
      <c s="1634">
        <v>8</v>
      </c>
      <c s="1634">
        <v>8</v>
      </c>
      <c s="1634">
        <v>8</v>
      </c>
      <c s="1634">
        <v>8</v>
      </c>
      <c s="1634">
        <v>8</v>
      </c>
      <c s="1634">
        <v>8</v>
      </c>
      <c s="1634">
        <v>8</v>
      </c>
      <c s="1634">
        <v>8</v>
      </c>
      <c s="1634">
        <v>8</v>
      </c>
      <c s="1634">
        <v>8</v>
      </c>
      <c s="1634">
        <v>8</v>
      </c>
      <c s="1634">
        <v>8</v>
      </c>
      <c s="1634">
        <v>8</v>
      </c>
      <c s="1634">
        <v>8</v>
      </c>
      <c s="1634">
        <v>8</v>
      </c>
      <c s="1634">
        <v>8</v>
      </c>
      <c s="1634">
        <v>8</v>
      </c>
      <c s="1634">
        <v>8</v>
      </c>
      <c s="1634">
        <v>8</v>
      </c>
      <c s="1634">
        <v>8</v>
      </c>
      <c s="1634">
        <v>8</v>
      </c>
      <c s="1634">
        <v>8</v>
      </c>
      <c s="1634">
        <v>8</v>
      </c>
      <c s="1634">
        <v>8</v>
      </c>
      <c s="1634">
        <v>8</v>
      </c>
      <c s="1634">
        <v>8</v>
      </c>
      <c s="1634">
        <v>8</v>
      </c>
      <c s="1634">
        <v>8</v>
      </c>
      <c s="1634">
        <v>8</v>
      </c>
      <c s="1634">
        <v>8</v>
      </c>
      <c s="1634">
        <v>8</v>
      </c>
      <c s="1634">
        <v>8</v>
      </c>
      <c s="1634">
        <v>8</v>
      </c>
      <c s="1634">
        <v>8</v>
      </c>
      <c s="1634">
        <v>8</v>
      </c>
      <c s="1634">
        <v>8</v>
      </c>
      <c s="1634">
        <v>8</v>
      </c>
      <c s="1634">
        <v>8</v>
      </c>
      <c s="1634">
        <v>8</v>
      </c>
      <c s="1634">
        <v>8</v>
      </c>
      <c s="1634">
        <v>8</v>
      </c>
      <c s="1634">
        <v>8</v>
      </c>
      <c s="1634">
        <v>8</v>
      </c>
      <c s="1634">
        <v>8</v>
      </c>
      <c s="1634">
        <v>8</v>
      </c>
      <c s="1634">
        <v>8</v>
      </c>
      <c s="1634">
        <v>8</v>
      </c>
      <c s="1634">
        <v>8</v>
      </c>
      <c s="1634">
        <v>8</v>
      </c>
      <c s="1634">
        <v>8</v>
      </c>
      <c s="1634">
        <v>8</v>
      </c>
      <c s="1634">
        <v>8</v>
      </c>
      <c s="1634">
        <v>8</v>
      </c>
      <c s="1634">
        <v>8</v>
      </c>
      <c s="1634">
        <v>8</v>
      </c>
      <c s="1634">
        <v>8</v>
      </c>
      <c s="1634">
        <v>8</v>
      </c>
      <c s="1634">
        <v>8</v>
      </c>
      <c s="1634">
        <v>8</v>
      </c>
      <c s="1634">
        <v>8</v>
      </c>
      <c s="1634">
        <v>8</v>
      </c>
      <c s="1634">
        <v>8</v>
      </c>
      <c s="1634">
        <v>8</v>
      </c>
      <c s="1634">
        <v>8</v>
      </c>
      <c s="1634">
        <v>8</v>
      </c>
      <c s="1634">
        <v>8</v>
      </c>
      <c s="1634">
        <v>8</v>
      </c>
      <c s="1634">
        <v>8</v>
      </c>
      <c s="1634">
        <v>8</v>
      </c>
      <c s="1634">
        <v>8</v>
      </c>
      <c s="1634">
        <v>8</v>
      </c>
      <c s="1634">
        <v>8</v>
      </c>
      <c s="1634">
        <v>8</v>
      </c>
      <c s="1634">
        <v>8</v>
      </c>
      <c s="1634">
        <v>8</v>
      </c>
      <c s="1634">
        <v>8</v>
      </c>
      <c s="1634">
        <v>8</v>
      </c>
      <c s="1634">
        <v>8</v>
      </c>
      <c s="1634">
        <v>8</v>
      </c>
      <c s="1634">
        <v>8</v>
      </c>
      <c s="1634">
        <v>8</v>
      </c>
      <c s="1634">
        <v>8</v>
      </c>
      <c s="1634">
        <v>8</v>
      </c>
      <c s="1634">
        <v>8</v>
      </c>
      <c s="1634">
        <v>8</v>
      </c>
      <c s="1634">
        <v>8</v>
      </c>
      <c s="1634">
        <v>8</v>
      </c>
      <c s="1634">
        <v>8</v>
      </c>
      <c s="1634">
        <v>8</v>
      </c>
      <c s="1634">
        <v>8</v>
      </c>
      <c s="1634">
        <v>8</v>
      </c>
      <c s="1634">
        <v>8</v>
      </c>
      <c s="1634">
        <v>8</v>
      </c>
      <c s="1634">
        <v>8</v>
      </c>
      <c s="1634">
        <v>8</v>
      </c>
      <c s="1634">
        <v>8</v>
      </c>
      <c s="1634">
        <v>8</v>
      </c>
      <c s="1634">
        <v>8</v>
      </c>
      <c s="1634">
        <v>8</v>
      </c>
      <c s="1634">
        <v>8</v>
      </c>
      <c s="1634">
        <v>8</v>
      </c>
      <c s="1634">
        <v>8</v>
      </c>
      <c s="1634">
        <v>8</v>
      </c>
      <c s="1634">
        <v>8</v>
      </c>
      <c s="1634">
        <v>8</v>
      </c>
      <c s="1634">
        <v>8</v>
      </c>
      <c s="1634">
        <v>8</v>
      </c>
      <c s="1634">
        <v>8</v>
      </c>
      <c s="1634">
        <v>8</v>
      </c>
      <c s="1634">
        <v>8</v>
      </c>
      <c s="1634">
        <v>8</v>
      </c>
      <c s="1634">
        <v>8</v>
      </c>
      <c s="1634">
        <v>8</v>
      </c>
      <c s="1634">
        <v>8</v>
      </c>
      <c s="1634">
        <v>8</v>
      </c>
      <c s="1634">
        <v>8</v>
      </c>
      <c s="1634">
        <v>8</v>
      </c>
      <c s="1634">
        <v>8</v>
      </c>
      <c s="1634">
        <v>8</v>
      </c>
      <c s="1634">
        <v>8</v>
      </c>
      <c s="1634">
        <v>8</v>
      </c>
      <c s="1634">
        <v>8</v>
      </c>
      <c s="1634">
        <v>8</v>
      </c>
      <c s="1634">
        <v>8</v>
      </c>
      <c s="1634">
        <v>8</v>
      </c>
      <c s="1634">
        <v>8</v>
      </c>
      <c s="1634">
        <v>8</v>
      </c>
      <c s="1634">
        <v>8</v>
      </c>
      <c s="1634">
        <v>8</v>
      </c>
      <c s="1634">
        <v>8</v>
      </c>
      <c s="1634">
        <v>8</v>
      </c>
      <c s="1634">
        <v>8</v>
      </c>
      <c s="1634">
        <v>8</v>
      </c>
      <c s="1634">
        <v>8</v>
      </c>
      <c s="1634">
        <v>8</v>
      </c>
      <c s="1634">
        <v>8</v>
      </c>
      <c s="1634">
        <v>8</v>
      </c>
      <c s="1634">
        <v>8</v>
      </c>
      <c s="1634">
        <v>8</v>
      </c>
      <c s="1634">
        <v>8</v>
      </c>
      <c s="1634">
        <v>8</v>
      </c>
      <c s="1634">
        <v>8</v>
      </c>
      <c s="1634">
        <v>8</v>
      </c>
      <c s="1634">
        <v>8</v>
      </c>
      <c s="1634">
        <v>8</v>
      </c>
      <c s="1634">
        <v>8</v>
      </c>
      <c s="1634">
        <v>8</v>
      </c>
      <c s="1634">
        <v>8</v>
      </c>
      <c s="1634">
        <v>8</v>
      </c>
      <c s="1634">
        <v>8</v>
      </c>
      <c s="1634">
        <v>8</v>
      </c>
      <c s="1634">
        <v>8</v>
      </c>
      <c s="1634">
        <v>8</v>
      </c>
      <c s="1634">
        <v>8</v>
      </c>
      <c s="1634">
        <v>8</v>
      </c>
      <c s="1634">
        <v>8</v>
      </c>
      <c s="1634">
        <v>8</v>
      </c>
      <c s="1634">
        <v>8</v>
      </c>
      <c s="1634">
        <v>8</v>
      </c>
      <c s="1634">
        <v>8</v>
      </c>
      <c s="1634">
        <v>8</v>
      </c>
      <c s="1634">
        <v>8</v>
      </c>
      <c s="1634">
        <v>8</v>
      </c>
      <c s="1634">
        <v>8</v>
      </c>
      <c s="1634">
        <v>8</v>
      </c>
      <c s="1634">
        <v>8</v>
      </c>
      <c s="1634">
        <v>8</v>
      </c>
      <c s="1634">
        <v>8</v>
      </c>
      <c s="1634">
        <v>8</v>
      </c>
      <c s="1634">
        <v>8</v>
      </c>
      <c s="1634">
        <v>8</v>
      </c>
      <c s="1634">
        <v>8</v>
      </c>
      <c s="1634">
        <v>8</v>
      </c>
      <c s="1634">
        <v>8</v>
      </c>
      <c s="1634">
        <v>8</v>
      </c>
      <c s="1634">
        <v>8</v>
      </c>
      <c s="1634">
        <v>8</v>
      </c>
      <c s="1634">
        <v>8</v>
      </c>
      <c s="1634">
        <v>8</v>
      </c>
      <c s="1634">
        <v>8</v>
      </c>
      <c s="1634">
        <v>8</v>
      </c>
      <c s="1634">
        <v>8</v>
      </c>
      <c s="1634">
        <v>8</v>
      </c>
      <c s="1634">
        <v>8</v>
      </c>
      <c s="1634">
        <v>8</v>
      </c>
      <c s="1634">
        <v>8</v>
      </c>
      <c s="1634">
        <v>8</v>
      </c>
      <c s="1634">
        <v>8</v>
      </c>
      <c s="1634">
        <v>8</v>
      </c>
      <c s="1634">
        <v>8</v>
      </c>
      <c s="1634">
        <v>8</v>
      </c>
      <c s="1634">
        <v>8</v>
      </c>
      <c s="1634">
        <v>8</v>
      </c>
      <c s="1634">
        <v>8</v>
      </c>
      <c s="1634">
        <v>8</v>
      </c>
      <c s="1634">
        <v>8</v>
      </c>
      <c s="1634">
        <v>8</v>
      </c>
      <c s="1634">
        <v>8</v>
      </c>
      <c s="1634">
        <v>8</v>
      </c>
      <c s="1634">
        <v>8</v>
      </c>
      <c s="1634">
        <v>8</v>
      </c>
      <c s="1634">
        <v>8</v>
      </c>
      <c s="1634">
        <v>8</v>
      </c>
      <c s="1634">
        <v>8</v>
      </c>
      <c s="1634">
        <v>8</v>
      </c>
      <c s="1634">
        <v>8</v>
      </c>
      <c s="1634">
        <v>8</v>
      </c>
      <c s="1634">
        <v>8</v>
      </c>
      <c s="1634">
        <v>8</v>
      </c>
      <c s="1634">
        <v>8</v>
      </c>
      <c s="1634">
        <v>8</v>
      </c>
      <c s="1634">
        <v>8</v>
      </c>
      <c s="1634">
        <v>23</v>
      </c>
    </row>
  </sheetData>
  <sheetProtection insertRows="0" deleteColumns="0" deleteRows="0" sort="0" autoFilter="0"/>
  <mergeCells count="10">
    <mergeCell ref="A10:A11"/>
    <mergeCell ref="L10:L11"/>
    <mergeCell ref="E5:K5"/>
    <mergeCell ref="E7:K7"/>
    <mergeCell ref="L7:L9"/>
    <mergeCell ref="E8:E9"/>
    <mergeCell ref="F8:F9"/>
    <mergeCell ref="G8:I8"/>
    <mergeCell ref="J8:J9"/>
    <mergeCell ref="K8:K9"/>
  </mergeCells>
  <dataValidations count="5">
    <dataValidation type="time" allowBlank="1" showInputMessage="1" showErrorMessage="1" prompt="Укажите время в формате ЧЧ:ММ" sqref="H2">
      <formula1>0</formula1>
      <formula2>0.999305555555556</formula2>
    </dataValidation>
    <dataValidation type="textLength" operator="lessThanOrEqual" allowBlank="1" showInputMessage="1" showErrorMessage="1" sqref="I2">
      <formula1>990</formula1>
    </dataValidation>
    <dataValidation type="textLength" allowBlank="1" showInputMessage="1" showErrorMessage="1" sqref="H3:I3">
      <formula1>13</formula1>
      <formula2>15</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dataValidation type="textLength" operator="lessThanOrEqual" allowBlank="1" showInputMessage="1" showErrorMessage="1" prompt="Введите ссылку на обосновывающие материалы, загруженные с помощью &quot;ЕИАС Web&quot;." errorTitle="Ошибка" error="Допускается ввод не более 900 символов!" sqref="J2:K3">
      <formula1>900</formula1>
    </dataValidation>
  </dataValidations>
  <pageMargins left="0.7" right="0.7" top="0.75" bottom="0.75" header="0.3" footer="0.3"/>
  <pageSetup orientation="portrait"/>
</worksheet>
</file>

<file path=xl/worksheets/sheet5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m="http://schemas.microsoft.com/office/excel/2006/main" xmlns:x14ac="http://schemas.microsoft.com/office/spreadsheetml/2009/9/ac" xmlns:xr="http://schemas.microsoft.com/office/spreadsheetml/2014/revision" xmlns:xr2="http://schemas.microsoft.com/office/spreadsheetml/2015/revision2" xmlns:xr3="http://schemas.microsoft.com/office/spreadsheetml/2016/revision3" xr:uid="{3A472C65-D866-254D-72FF-E1DF1DBDE439}" mc:Ignorable="x14ac xr xr2 xr3">
  <dimension ref="A1:Q19"/>
  <sheetViews>
    <sheetView showGridLines="0" zoomScale="90" zoomScaleNormal="90" workbookViewId="0" topLeftCell="A1">
      <pane xSplit="10" ySplit="12" topLeftCell="K13" activePane="bottomRight" state="frozen"/>
      <selection pane="topLeft" activeCell="A1" sqref="A1"/>
      <selection pane="bottomLeft" activeCell="A13" sqref="A13"/>
      <selection pane="topRight" activeCell="K1" sqref="K1"/>
      <selection pane="bottomRight" activeCell="A1" sqref="A1"/>
    </sheetView>
  </sheetViews>
  <sheetFormatPr defaultColWidth="9.14428571428571" defaultRowHeight="14.25" customHeight="1"/>
  <cols>
    <col min="1" max="1" width="9.14285714285714" style="1638" hidden="1"/>
    <col min="2" max="2" width="9.14285714285714" style="1369" hidden="1"/>
    <col min="3" max="3" width="3.71428571428571" style="1638" hidden="1" customWidth="1"/>
    <col min="4" max="4" width="3" style="1845" customWidth="1"/>
    <col min="5" max="5" width="6" style="1638" customWidth="1"/>
    <col min="6" max="6" width="27" style="1638" customWidth="1"/>
    <col min="7" max="7" width="29" style="1638" customWidth="1"/>
    <col min="8" max="8" width="25" style="1638" customWidth="1"/>
    <col min="9" max="9" width="5" style="1638" customWidth="1"/>
    <col min="10" max="10" width="6" style="1638" customWidth="1"/>
    <col min="11" max="11" width="41" style="1638" customWidth="1"/>
    <col min="12" max="12" width="42" style="1638" customWidth="1"/>
    <col min="13" max="13" width="41" style="1638" customWidth="1"/>
    <col min="14" max="14" width="89" style="1638" customWidth="1"/>
    <col min="15" max="15" width="3" style="1627" customWidth="1"/>
    <col min="16" max="16" width="8" style="1627" customWidth="1"/>
    <col min="17" max="17" width="9.14285714285714" style="1638" hidden="1"/>
  </cols>
  <sheetData>
    <row r="1" spans="17:17" ht="22.5" customHeight="1" hidden="1">
      <c r="Q1" s="1158" t="s">
        <v>14</v>
      </c>
    </row>
    <row r="2" spans="1:17" s="1853" customFormat="1" ht="22.5" customHeight="1" hidden="1">
      <c r="A2" s="499"/>
      <c s="1163">
        <v>1</v>
      </c>
      <c s="1163"/>
      <c s="1931" t="s">
        <v>689</v>
      </c>
      <c s="2130">
        <v>1</v>
      </c>
      <c s="2306" t="str">
        <f>IF(region_name="","",region_name)</f>
        <v>Краснодарский край</v>
      </c>
      <c s="2486"/>
      <c s="2487"/>
      <c s="477"/>
      <c s="1913">
        <v>1</v>
      </c>
      <c s="1915"/>
      <c s="1915"/>
      <c s="1915"/>
      <c s="495"/>
      <c s="1538"/>
      <c s="514"/>
      <c s="426">
        <v>0</v>
      </c>
    </row>
    <row r="3" spans="1:17" s="1853" customFormat="1" ht="22.5" customHeight="1" hidden="1">
      <c r="A3" s="834"/>
      <c s="1163"/>
      <c s="1163"/>
      <c s="804"/>
      <c s="2130"/>
      <c s="2306"/>
      <c s="2486"/>
      <c s="2488"/>
      <c s="424"/>
      <c s="1503"/>
      <c s="1503" t="s">
        <v>1881</v>
      </c>
      <c s="1546"/>
      <c s="1923"/>
      <c s="1916"/>
      <c s="1538"/>
      <c s="514"/>
      <c s="426">
        <v>0</v>
      </c>
    </row>
    <row r="4" spans="1:17" s="1645" customFormat="1" ht="5.25" customHeight="1" hidden="1">
      <c r="A4" s="499"/>
      <c r="D4" s="497"/>
      <c r="F4" s="250" t="s">
        <v>82</v>
      </c>
      <c s="497" t="s">
        <v>83</v>
      </c>
      <c s="497"/>
      <c s="1926"/>
      <c s="1547"/>
      <c s="1914"/>
      <c s="1914"/>
      <c s="1914"/>
      <c s="1910"/>
      <c s="250" t="s">
        <v>82</v>
      </c>
      <c s="250"/>
      <c s="514">
        <v>0</v>
      </c>
    </row>
    <row r="5" spans="1:17" s="1853" customFormat="1" ht="22.5" customHeight="1" hidden="1">
      <c r="A5" s="1644"/>
      <c s="1369">
        <v>1</v>
      </c>
      <c s="1369"/>
      <c s="804"/>
      <c s="1916"/>
      <c s="1916"/>
      <c s="1916"/>
      <c s="1927"/>
      <c s="1932" t="s">
        <v>689</v>
      </c>
      <c s="1925">
        <v>1</v>
      </c>
      <c s="1915"/>
      <c s="1915"/>
      <c s="1915"/>
      <c s="495"/>
      <c s="1538"/>
      <c s="1639"/>
      <c s="627">
        <v>0</v>
      </c>
    </row>
    <row r="6" spans="1:17" s="1822" customFormat="1" ht="14.7" customHeight="1">
      <c r="A6" s="1158"/>
      <c s="1163"/>
      <c s="1158"/>
      <c s="1498"/>
      <c s="512"/>
      <c s="512"/>
      <c s="512"/>
      <c s="512"/>
      <c s="512"/>
      <c s="512"/>
      <c s="512"/>
      <c s="512"/>
      <c s="512"/>
      <c s="1638"/>
      <c s="250"/>
      <c s="503"/>
      <c s="510">
        <v>14</v>
      </c>
    </row>
    <row r="7" spans="1:17" s="1822" customFormat="1" ht="27.3" customHeight="1">
      <c r="A7" s="1158"/>
      <c s="1163"/>
      <c s="1158"/>
      <c s="1498"/>
      <c s="2493" t="str">
        <f>"Форма "&amp;IF(TEMPLATE_SPHERE="HEAT","5","4")&amp;".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f>
        <v>Форма 4.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v>
      </c>
      <c s="2493"/>
      <c s="2493"/>
      <c s="2493"/>
      <c s="2493"/>
      <c s="2493"/>
      <c s="2493"/>
      <c s="2493"/>
      <c s="2493"/>
      <c s="1255"/>
      <c s="250"/>
      <c s="503"/>
      <c s="510">
        <v>26</v>
      </c>
    </row>
    <row r="8" spans="1:17" s="1822" customFormat="1" ht="14.7" customHeight="1">
      <c r="A8" s="1158"/>
      <c s="1163"/>
      <c s="1158"/>
      <c s="1498"/>
      <c s="512"/>
      <c s="170"/>
      <c s="170"/>
      <c s="170"/>
      <c s="170"/>
      <c s="170"/>
      <c s="170"/>
      <c s="170"/>
      <c s="170"/>
      <c s="619"/>
      <c s="503"/>
      <c s="503"/>
      <c s="510">
        <v>14</v>
      </c>
    </row>
    <row r="9" spans="1:17" s="1549" customFormat="1" ht="14.25" customHeight="1" hidden="1">
      <c r="A9" s="1471"/>
      <c s="1481"/>
      <c s="1471"/>
      <c s="1498"/>
      <c s="1917"/>
      <c s="1917"/>
      <c s="1917"/>
      <c s="1917"/>
      <c s="2496"/>
      <c s="2496"/>
      <c s="2496"/>
      <c s="1917"/>
      <c s="1918"/>
      <c r="O9" s="1548"/>
      <c s="1548"/>
      <c s="1549">
        <v>0</v>
      </c>
    </row>
    <row r="10" spans="1:17" s="1822" customFormat="1" ht="14.7" customHeight="1">
      <c r="A10" s="1158"/>
      <c s="1163"/>
      <c s="1158"/>
      <c s="1498"/>
      <c s="2130" t="s">
        <v>300</v>
      </c>
      <c s="2130"/>
      <c s="2130"/>
      <c s="2130"/>
      <c s="2130"/>
      <c s="2130"/>
      <c s="2130"/>
      <c s="2130"/>
      <c s="2104"/>
      <c s="2481" t="s">
        <v>301</v>
      </c>
      <c s="503"/>
      <c s="503"/>
      <c s="510">
        <v>14</v>
      </c>
    </row>
    <row r="11" spans="1:17" s="1822" customFormat="1" ht="44.25" customHeight="1">
      <c r="A11" s="1634"/>
      <c s="1369"/>
      <c s="1634"/>
      <c s="1518"/>
      <c s="2495" t="s">
        <v>87</v>
      </c>
      <c s="2495" t="s">
        <v>304</v>
      </c>
      <c s="2495" t="s">
        <v>1882</v>
      </c>
      <c s="2495"/>
      <c s="2495" t="s">
        <v>1883</v>
      </c>
      <c s="2495"/>
      <c s="2495"/>
      <c s="2495" t="s">
        <v>1884</v>
      </c>
      <c s="2483" t="s">
        <v>1885</v>
      </c>
      <c s="2494"/>
      <c s="1627"/>
      <c s="1627"/>
      <c s="1612">
        <v>42</v>
      </c>
    </row>
    <row r="12" spans="1:17" s="1822" customFormat="1" ht="29.25" customHeight="1">
      <c r="A12" s="1158"/>
      <c s="1163"/>
      <c s="1158"/>
      <c s="1498"/>
      <c s="2481"/>
      <c s="2495"/>
      <c s="1912" t="s">
        <v>1886</v>
      </c>
      <c s="1912" t="s">
        <v>308</v>
      </c>
      <c s="2495"/>
      <c s="2495"/>
      <c s="2495"/>
      <c s="2495"/>
      <c s="2483"/>
      <c s="2482"/>
      <c s="503"/>
      <c s="503"/>
      <c s="510">
        <v>28</v>
      </c>
    </row>
    <row r="13" spans="1:17" s="1853" customFormat="1" ht="23.25" customHeight="1">
      <c r="A13" s="2102">
        <v>26379339</v>
      </c>
      <c s="1163">
        <v>1</v>
      </c>
      <c s="1163"/>
      <c s="804"/>
      <c s="2130">
        <v>1</v>
      </c>
      <c s="2489" t="str">
        <f>IF(region_name="","",region_name)</f>
        <v>Краснодарский край</v>
      </c>
      <c s="2490"/>
      <c s="2497"/>
      <c s="477"/>
      <c s="1908">
        <v>1</v>
      </c>
      <c s="1921"/>
      <c s="1922"/>
      <c s="1922"/>
      <c s="2491" t="s">
        <v>1887</v>
      </c>
      <c s="1538"/>
      <c s="514"/>
      <c s="426">
        <v>22</v>
      </c>
    </row>
    <row r="14" spans="1:17" s="1853" customFormat="1" ht="23.25" customHeight="1">
      <c r="A14" s="2102"/>
      <c s="1163"/>
      <c s="1163"/>
      <c s="804"/>
      <c s="2130"/>
      <c s="2489"/>
      <c s="2490"/>
      <c s="2498"/>
      <c s="424"/>
      <c s="1503"/>
      <c s="1503" t="s">
        <v>1881</v>
      </c>
      <c s="1546"/>
      <c s="1546"/>
      <c s="2492"/>
      <c s="1538"/>
      <c s="514"/>
      <c s="426">
        <v>22</v>
      </c>
    </row>
    <row r="15" spans="1:17" s="1853" customFormat="1" ht="23.25" customHeight="1">
      <c r="A15" s="2102"/>
      <c s="1163"/>
      <c s="415"/>
      <c s="804"/>
      <c s="424"/>
      <c s="1503" t="s">
        <v>1873</v>
      </c>
      <c s="1545"/>
      <c s="1545"/>
      <c s="190"/>
      <c s="190"/>
      <c s="190"/>
      <c s="190"/>
      <c s="190"/>
      <c s="2492"/>
      <c s="1539"/>
      <c s="514"/>
      <c s="426">
        <v>22</v>
      </c>
    </row>
    <row r="16" spans="1:17" s="1822" customFormat="1" ht="22.05" customHeight="1">
      <c r="A16" s="1158"/>
      <c s="1163"/>
      <c s="1158"/>
      <c s="454"/>
      <c s="183"/>
      <c s="183"/>
      <c s="183"/>
      <c s="183"/>
      <c s="183"/>
      <c s="183"/>
      <c s="183"/>
      <c s="183"/>
      <c s="512"/>
      <c s="1638"/>
      <c s="503"/>
      <c s="503"/>
      <c s="510">
        <v>21</v>
      </c>
    </row>
    <row r="17" spans="1:17" s="1822" customFormat="1" ht="14.7" customHeight="1">
      <c r="A17" s="1158"/>
      <c s="1163"/>
      <c s="1158"/>
      <c s="454"/>
      <c s="1158"/>
      <c s="1158"/>
      <c s="1158"/>
      <c s="1158"/>
      <c s="1158"/>
      <c s="1158"/>
      <c s="1158"/>
      <c s="1158"/>
      <c s="1158"/>
      <c s="1634"/>
      <c s="503"/>
      <c s="503"/>
      <c s="510">
        <v>14</v>
      </c>
    </row>
    <row r="18" spans="1:17" s="1822" customFormat="1" ht="1.05" customHeight="1">
      <c r="A18" s="1158"/>
      <c s="1163"/>
      <c s="1158"/>
      <c s="454"/>
      <c s="1158"/>
      <c s="1158"/>
      <c s="1158"/>
      <c s="1158"/>
      <c s="1158"/>
      <c s="1158"/>
      <c s="1158"/>
      <c s="1158"/>
      <c s="1158"/>
      <c s="1634"/>
      <c s="503"/>
      <c s="503"/>
      <c s="510">
        <v>1</v>
      </c>
    </row>
    <row r="19" spans="1:17" ht="22.5" customHeight="1" hidden="1">
      <c r="A19" s="1158" t="s">
        <v>81</v>
      </c>
      <c s="1163">
        <v>0</v>
      </c>
      <c s="1158">
        <v>0</v>
      </c>
      <c s="454">
        <v>3</v>
      </c>
      <c s="1158">
        <v>6</v>
      </c>
      <c s="1158">
        <v>27</v>
      </c>
      <c s="1158">
        <v>29</v>
      </c>
      <c s="1158">
        <v>25</v>
      </c>
      <c s="1158">
        <v>5</v>
      </c>
      <c s="1158">
        <v>6</v>
      </c>
      <c s="1158">
        <v>41</v>
      </c>
      <c s="1158">
        <v>42</v>
      </c>
      <c s="1158">
        <v>41</v>
      </c>
      <c s="1634">
        <v>89</v>
      </c>
      <c s="503">
        <v>3</v>
      </c>
      <c s="503">
        <v>8</v>
      </c>
      <c s="1158">
        <v>23</v>
      </c>
    </row>
  </sheetData>
  <sheetProtection formatColumns="0" formatRows="0" insertRows="0" deleteColumns="0" deleteRows="0" sort="0" autoFilter="0"/>
  <mergeCells count="20">
    <mergeCell ref="N13:N15"/>
    <mergeCell ref="E10:M10"/>
    <mergeCell ref="E7:M7"/>
    <mergeCell ref="N10:N12"/>
    <mergeCell ref="I11:K12"/>
    <mergeCell ref="L11:L12"/>
    <mergeCell ref="M11:M12"/>
    <mergeCell ref="E11:E12"/>
    <mergeCell ref="F11:F12"/>
    <mergeCell ref="I9:K9"/>
    <mergeCell ref="H13:H14"/>
    <mergeCell ref="G11:H11"/>
    <mergeCell ref="E2:E3"/>
    <mergeCell ref="F2:F3"/>
    <mergeCell ref="G2:G3"/>
    <mergeCell ref="H2:H3"/>
    <mergeCell ref="A13:A15"/>
    <mergeCell ref="F13:F14"/>
    <mergeCell ref="G13:G14"/>
    <mergeCell ref="E13:E14"/>
  </mergeCells>
  <dataValidations count="2">
    <dataValidation type="textLength" operator="lessThanOrEqual" allowBlank="1" showInputMessage="1" showErrorMessage="1" prompt="Введите ссылку на обосновывающие материалы, загруженные с помощью &quot;ЕИАС Web&quot;." errorTitle="Ошибка" error="Допускается ввод не более 900 символов!" sqref="L4">
      <formula1>900</formula1>
    </dataValidation>
    <dataValidation type="textLength" operator="lessThanOrEqual" allowBlank="1" showInputMessage="1" showErrorMessage="1" prompt="Введите ссылку на обосновывающие материалы, загруженные с помощью &quot;ЕИАС Web" errorTitle="Ошибка" error="Допускается ввод не более 900 символов!" sqref="M4">
      <formula1>900</formula1>
    </dataValidation>
  </dataValidations>
  <pageMargins left="0.7" right="0.7" top="0.75" bottom="0.75" header="0.3" footer="0.3"/>
  <pageSetup orientation="portrait"/>
</worksheet>
</file>

<file path=xl/worksheets/sheet5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m="http://schemas.microsoft.com/office/excel/2006/main" xmlns:x14ac="http://schemas.microsoft.com/office/spreadsheetml/2009/9/ac" xmlns:xr="http://schemas.microsoft.com/office/spreadsheetml/2014/revision" xmlns:xr2="http://schemas.microsoft.com/office/spreadsheetml/2015/revision2" xmlns:xr3="http://schemas.microsoft.com/office/spreadsheetml/2016/revision3" xr:uid="{E91D46ED-D764-1FBE-F816-EC3E272483B8}" mc:Ignorable="x14ac xr xr2 xr3">
  <sheetPr>
    <tabColor rgb="FFEAEBEE"/>
    <pageSetUpPr fitToPage="1"/>
  </sheetPr>
  <dimension ref="A1:M16"/>
  <sheetViews>
    <sheetView showGridLines="0" zoomScale="90" zoomScaleNormal="90" workbookViewId="0" topLeftCell="A1">
      <pane xSplit="4" ySplit="11" topLeftCell="E12" activePane="bottomRight" state="frozen"/>
      <selection pane="topLeft" activeCell="A1" sqref="A1"/>
      <selection pane="bottomLeft" activeCell="A12" sqref="A12"/>
      <selection pane="topRight" activeCell="E1" sqref="E1"/>
      <selection pane="bottomRight" activeCell="A1" sqref="A1"/>
    </sheetView>
  </sheetViews>
  <sheetFormatPr defaultColWidth="9.14428571428571" defaultRowHeight="14.25" customHeight="1"/>
  <cols>
    <col min="1" max="1" width="9.14285714285714" style="361" hidden="1"/>
    <col min="2" max="2" width="9.14285714285714" style="1826" hidden="1"/>
    <col min="3" max="3" width="3" style="123" customWidth="1"/>
    <col min="4" max="4" width="6" style="1826" customWidth="1"/>
    <col min="5" max="5" width="22" style="1826" customWidth="1"/>
    <col min="6" max="6" width="15" style="1826" customWidth="1"/>
    <col min="7" max="7" width="14" style="1826" customWidth="1"/>
    <col min="8" max="8" width="47" style="1826" customWidth="1"/>
    <col min="9" max="9" width="115" style="1826" customWidth="1"/>
    <col min="10" max="10" width="3" style="1826" customWidth="1"/>
    <col min="11" max="12" width="8" style="1826" customWidth="1"/>
    <col min="13" max="13" width="9.14285714285714" style="1826" hidden="1"/>
  </cols>
  <sheetData>
    <row r="1" spans="13:13" ht="14.25" customHeight="1" hidden="1">
      <c r="M1" s="124" t="s">
        <v>14</v>
      </c>
    </row>
    <row r="2" spans="13:13" ht="14.25" customHeight="1" hidden="1">
      <c r="M2" s="124">
        <v>0</v>
      </c>
    </row>
    <row r="3" spans="13:13" ht="14.25" customHeight="1" hidden="1">
      <c r="M3" s="124">
        <v>0</v>
      </c>
    </row>
    <row r="4" spans="13:13" ht="3" customHeight="1">
      <c r="M4" s="124">
        <v>3</v>
      </c>
    </row>
    <row r="5" spans="1:13" s="1638" customFormat="1" ht="31.5" customHeight="1">
      <c r="A5" s="118"/>
      <c r="C5" s="93"/>
      <c s="2103" t="s">
        <v>1888</v>
      </c>
      <c s="2103"/>
      <c s="2103"/>
      <c s="2103"/>
      <c s="2103"/>
      <c s="268"/>
      <c r="M5" s="86">
        <v>30</v>
      </c>
    </row>
    <row r="6" spans="4:13" ht="3" customHeight="1" hidden="1">
      <c r="D6" s="125"/>
      <c s="125"/>
      <c s="125"/>
      <c s="125"/>
      <c s="125"/>
      <c s="125"/>
      <c r="M6" s="124">
        <v>0</v>
      </c>
    </row>
    <row r="7" spans="2:13" s="361" customFormat="1" ht="14.7" customHeight="1">
      <c r="B7" s="122"/>
      <c s="123"/>
      <c s="126"/>
      <c s="126"/>
      <c s="126"/>
      <c s="126"/>
      <c s="755"/>
      <c s="126"/>
      <c s="127"/>
      <c r="M7" s="121">
        <v>14</v>
      </c>
    </row>
    <row r="8" spans="4:13" ht="14.7" customHeight="1">
      <c r="D8" s="2212" t="s">
        <v>300</v>
      </c>
      <c s="2212"/>
      <c s="2212"/>
      <c s="2212"/>
      <c s="2212"/>
      <c s="2212" t="s">
        <v>301</v>
      </c>
      <c r="M8" s="124">
        <v>14</v>
      </c>
    </row>
    <row r="9" spans="4:13" ht="29.25" customHeight="1">
      <c r="D9" s="2212" t="s">
        <v>87</v>
      </c>
      <c s="2212" t="s">
        <v>1889</v>
      </c>
      <c s="2212"/>
      <c s="2212"/>
      <c s="2212"/>
      <c s="2212"/>
      <c r="M9" s="124">
        <v>28</v>
      </c>
    </row>
    <row r="10" spans="4:13" ht="24" customHeight="1">
      <c r="D10" s="2212"/>
      <c s="130" t="s">
        <v>1890</v>
      </c>
      <c s="130" t="s">
        <v>1891</v>
      </c>
      <c s="130" t="s">
        <v>1892</v>
      </c>
      <c s="130" t="s">
        <v>390</v>
      </c>
      <c s="2212"/>
      <c r="M10" s="124">
        <v>23</v>
      </c>
    </row>
    <row r="11" spans="4:13" ht="12" customHeight="1" hidden="1">
      <c r="D11" s="90" t="s">
        <v>109</v>
      </c>
      <c s="90" t="s">
        <v>90</v>
      </c>
      <c s="90" t="s">
        <v>111</v>
      </c>
      <c s="90" t="s">
        <v>91</v>
      </c>
      <c s="90" t="s">
        <v>92</v>
      </c>
      <c s="90" t="s">
        <v>112</v>
      </c>
      <c r="M11" s="124">
        <v>0</v>
      </c>
    </row>
    <row r="12" spans="1:13" s="1826" customFormat="1" ht="26.25" customHeight="1">
      <c r="A12" s="148" t="s">
        <v>89</v>
      </c>
      <c s="128" t="s">
        <v>22</v>
      </c>
      <c s="129"/>
      <c s="131" t="s">
        <v>109</v>
      </c>
      <c s="384"/>
      <c s="384"/>
      <c s="1737" t="s">
        <v>22</v>
      </c>
      <c s="385"/>
      <c s="2172" t="s">
        <v>1893</v>
      </c>
      <c r="K12" s="275"/>
      <c s="276"/>
      <c s="120">
        <v>25</v>
      </c>
    </row>
    <row r="13" spans="1:13" ht="15.75" customHeight="1">
      <c r="A13" s="124"/>
      <c s="124"/>
      <c s="124"/>
      <c s="112"/>
      <c s="133" t="s">
        <v>468</v>
      </c>
      <c s="132"/>
      <c s="132"/>
      <c s="217"/>
      <c s="2174"/>
      <c r="M13" s="124">
        <v>15</v>
      </c>
    </row>
    <row r="14" spans="1:13" ht="3" customHeight="1">
      <c r="A14" s="124"/>
      <c s="124"/>
      <c s="124"/>
      <c r="M14" s="124">
        <v>3</v>
      </c>
    </row>
    <row r="15" spans="5:13" ht="29.25" customHeight="1">
      <c r="E15" s="2499" t="s">
        <v>1894</v>
      </c>
      <c s="2499"/>
      <c s="2499"/>
      <c s="2499"/>
      <c r="M15" s="124">
        <v>28</v>
      </c>
    </row>
    <row r="16" spans="1:13" ht="14.25" customHeight="1" hidden="1">
      <c r="A16" s="121" t="s">
        <v>81</v>
      </c>
      <c s="122">
        <v>0</v>
      </c>
      <c s="123">
        <v>3</v>
      </c>
      <c s="124">
        <v>6</v>
      </c>
      <c s="124">
        <v>22</v>
      </c>
      <c s="124">
        <v>15</v>
      </c>
      <c s="124">
        <v>14</v>
      </c>
      <c s="124">
        <v>47</v>
      </c>
      <c s="124">
        <v>115</v>
      </c>
      <c s="124">
        <v>3</v>
      </c>
      <c s="124">
        <v>8</v>
      </c>
      <c s="124">
        <v>8</v>
      </c>
      <c s="124">
        <v>14</v>
      </c>
    </row>
  </sheetData>
  <sheetProtection formatColumns="0" formatRows="0" insertRows="0" deleteColumns="0" deleteRows="0" sort="0" autoFilter="0"/>
  <mergeCells count="7">
    <mergeCell ref="E15:H15"/>
    <mergeCell ref="D5:H5"/>
    <mergeCell ref="I12:I13"/>
    <mergeCell ref="D8:H8"/>
    <mergeCell ref="I8:I10"/>
    <mergeCell ref="E9:H9"/>
    <mergeCell ref="D9:D10"/>
  </mergeCells>
  <dataValidations count="3">
    <dataValidation type="textLength" operator="lessThanOrEqual" allowBlank="1" showInputMessage="1" showErrorMessage="1" errorTitle="Ошибка" error="Допускается ввод не более 900 символов!" sqref="E12:F12">
      <formula1>900</formula1>
    </dataValidation>
    <dataValidation type="textLength" operator="lessThanOrEqual" allowBlank="1" showInputMessage="1" showErrorMessage="1" prompt="Введите ссылку на обосновывающие материалы, загруженные с помощью &quot;ЕИАС Web&quot;." errorTitle="Ошибка" error="Допускается ввод не более 900 символов!" sqref="H12">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12"/>
  </dataValidations>
  <printOptions horizontalCentered="1"/>
  <pageMargins left="0.24" right="0.24" top="0.24" bottom="0.24" header="0.24" footer="0.24"/>
  <pageSetup fitToHeight="0" orientation="landscape" paperSize="9" scale="70"/>
</worksheet>
</file>

<file path=xl/worksheets/sheet5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m="http://schemas.microsoft.com/office/excel/2006/main" xmlns:x14ac="http://schemas.microsoft.com/office/spreadsheetml/2009/9/ac" xmlns:xr="http://schemas.microsoft.com/office/spreadsheetml/2014/revision" xmlns:xr2="http://schemas.microsoft.com/office/spreadsheetml/2015/revision2" xmlns:xr3="http://schemas.microsoft.com/office/spreadsheetml/2016/revision3" xr:uid="{E02D676D-C88A-3024-62D8-FCD70B76ED4F}" mc:Ignorable="x14ac xr xr2 xr3">
  <sheetPr>
    <tabColor rgb="FFCCCCFF"/>
    <pageSetUpPr fitToPage="1"/>
  </sheetPr>
  <dimension ref="A1:J16"/>
  <sheetViews>
    <sheetView showGridLines="0" zoomScale="90" zoomScaleNormal="90" workbookViewId="0" topLeftCell="A1">
      <pane xSplit="4" ySplit="11" topLeftCell="E12" activePane="bottomRight" state="frozen"/>
      <selection pane="topLeft" activeCell="A1" sqref="A1"/>
      <selection pane="bottomLeft" activeCell="A12" sqref="A12"/>
      <selection pane="topRight" activeCell="E1" sqref="E1"/>
      <selection pane="bottomRight" activeCell="A1" sqref="A1"/>
    </sheetView>
  </sheetViews>
  <sheetFormatPr defaultColWidth="9.14428571428571" defaultRowHeight="14.25" customHeight="1"/>
  <cols>
    <col min="1" max="2" width="9.14285714285714" style="267" hidden="1"/>
    <col min="3" max="3" width="3" style="94" customWidth="1"/>
    <col min="4" max="4" width="6" style="267" customWidth="1"/>
    <col min="5" max="5" width="94" style="267" customWidth="1"/>
    <col min="6" max="9" width="8" style="267" customWidth="1"/>
    <col min="10" max="10" width="9.14285714285714" style="267" hidden="1"/>
  </cols>
  <sheetData>
    <row r="1" spans="10:10" ht="14.25" customHeight="1" hidden="1">
      <c r="J1" s="72" t="s">
        <v>14</v>
      </c>
    </row>
    <row r="2" spans="10:10" ht="14.25" customHeight="1" hidden="1">
      <c r="J2" s="72">
        <v>0</v>
      </c>
    </row>
    <row r="3" spans="10:10" ht="14.25" customHeight="1" hidden="1">
      <c r="J3" s="72">
        <v>0</v>
      </c>
    </row>
    <row r="4" spans="10:10" ht="14.25" customHeight="1" hidden="1">
      <c r="J4" s="72">
        <v>0</v>
      </c>
    </row>
    <row r="5" spans="10:10" ht="14.25" customHeight="1" hidden="1">
      <c r="J5" s="72">
        <v>0</v>
      </c>
    </row>
    <row r="6" spans="3:10" ht="3" customHeight="1">
      <c r="C6" s="95"/>
      <c s="73"/>
      <c s="73"/>
      <c r="J6" s="72">
        <v>3</v>
      </c>
    </row>
    <row r="7" spans="3:10" ht="23.25" customHeight="1">
      <c r="C7" s="95"/>
      <c s="2500" t="s">
        <v>1895</v>
      </c>
      <c s="2501"/>
      <c s="270"/>
      <c r="J7" s="72">
        <v>22</v>
      </c>
    </row>
    <row r="8" spans="3:10" ht="3" customHeight="1">
      <c r="C8" s="95"/>
      <c s="73"/>
      <c s="73"/>
      <c r="J8" s="72">
        <v>3</v>
      </c>
    </row>
    <row r="9" spans="3:10" ht="16.8" customHeight="1">
      <c r="C9" s="95"/>
      <c s="108" t="s">
        <v>87</v>
      </c>
      <c s="263" t="s">
        <v>1896</v>
      </c>
      <c r="J9" s="72">
        <v>16</v>
      </c>
    </row>
    <row r="10" spans="3:10" ht="1.05" customHeight="1">
      <c r="C10" s="95"/>
      <c s="90"/>
      <c s="90"/>
      <c r="J10" s="72">
        <v>1</v>
      </c>
    </row>
    <row r="11" spans="3:10" ht="11.25" customHeight="1" hidden="1">
      <c r="C11" s="95"/>
      <c s="153">
        <v>0</v>
      </c>
      <c s="264"/>
      <c r="J11" s="72">
        <v>0</v>
      </c>
    </row>
    <row r="12" spans="3:10" ht="15.75" customHeight="1">
      <c r="C12" s="139"/>
      <c s="116">
        <v>1</v>
      </c>
      <c s="380"/>
      <c r="J12" s="72">
        <v>15</v>
      </c>
    </row>
    <row r="13" spans="3:10" ht="12.75" customHeight="1">
      <c r="C13" s="95"/>
      <c s="265"/>
      <c s="266" t="s">
        <v>1897</v>
      </c>
      <c r="J13" s="72">
        <v>12</v>
      </c>
    </row>
    <row r="14" spans="10:10" ht="3" customHeight="1">
      <c r="J14" s="72">
        <v>3</v>
      </c>
    </row>
    <row r="15" spans="3:10" ht="23.25" customHeight="1">
      <c r="C15" s="140"/>
      <c s="2502" t="s">
        <v>1898</v>
      </c>
      <c s="2502"/>
      <c s="141"/>
      <c s="141"/>
      <c s="141"/>
      <c s="141"/>
      <c s="72">
        <v>22</v>
      </c>
    </row>
    <row r="16" spans="1:10" ht="14.25" customHeight="1" hidden="1">
      <c r="A16" s="72" t="s">
        <v>81</v>
      </c>
      <c s="72">
        <v>0</v>
      </c>
      <c s="94">
        <v>3</v>
      </c>
      <c s="72">
        <v>6</v>
      </c>
      <c s="72">
        <v>94</v>
      </c>
      <c s="72">
        <v>8</v>
      </c>
      <c s="72">
        <v>8</v>
      </c>
      <c s="72">
        <v>8</v>
      </c>
      <c s="72">
        <v>8</v>
      </c>
      <c s="72">
        <v>14</v>
      </c>
    </row>
  </sheetData>
  <sheetProtection formatColumns="0" formatRows="0" insertRows="0" deleteColumns="0" deleteRows="0" sort="0" autoFilter="0"/>
  <mergeCells count="2">
    <mergeCell ref="D7:E7"/>
    <mergeCell ref="D15:E15"/>
  </mergeCells>
  <dataValidations count="1">
    <dataValidation type="textLength" operator="lessThanOrEqual" allowBlank="1" showInputMessage="1" showErrorMessage="1" errorTitle="Ошибка" error="Допускается ввод не более 900 символов!" sqref="E11:E12">
      <formula1>900</formula1>
    </dataValidation>
  </dataValidations>
  <pageMargins left="0.75" right="0.75" top="1" bottom="1" header="0.5" footer="0.5"/>
  <pageSetup orientation="portrait" paperSize="9" scale="94"/>
</worksheet>
</file>

<file path=xl/worksheets/sheet5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m="http://schemas.microsoft.com/office/excel/2006/main" xmlns:x14ac="http://schemas.microsoft.com/office/spreadsheetml/2009/9/ac" xmlns:xr="http://schemas.microsoft.com/office/spreadsheetml/2014/revision" xmlns:xr2="http://schemas.microsoft.com/office/spreadsheetml/2015/revision2" xmlns:xr3="http://schemas.microsoft.com/office/spreadsheetml/2016/revision3" xr:uid="{099FE97F-DBE6-02FB-46C7-89D5932E12DC}" mc:Ignorable="x14ac xr xr2 xr3">
  <sheetPr>
    <tabColor rgb="FFCCCCFF"/>
    <pageSetUpPr fitToPage="1"/>
  </sheetPr>
  <dimension ref="A1:M13"/>
  <sheetViews>
    <sheetView showGridLines="0" zoomScale="90" zoomScaleNormal="90" workbookViewId="0" topLeftCell="C6">
      <selection pane="topLeft" activeCell="A1" sqref="A1"/>
    </sheetView>
  </sheetViews>
  <sheetFormatPr defaultColWidth="9.14428571428571" defaultRowHeight="14.25" customHeight="1"/>
  <cols>
    <col min="1" max="2" width="9.14285714285714" style="267" hidden="1"/>
    <col min="3" max="3" width="3" style="94" customWidth="1"/>
    <col min="4" max="4" width="6" style="267" customWidth="1"/>
    <col min="5" max="5" width="94" style="267" customWidth="1"/>
    <col min="6" max="12" width="8" style="267" customWidth="1"/>
    <col min="13" max="13" width="9.14285714285714" style="267" hidden="1"/>
  </cols>
  <sheetData>
    <row r="1" spans="12:13" ht="14.25" customHeight="1" hidden="1">
      <c r="L1" s="267"/>
      <c s="72" t="s">
        <v>14</v>
      </c>
    </row>
    <row r="2" spans="13:13" ht="14.25" customHeight="1" hidden="1">
      <c r="M2" s="72">
        <v>0</v>
      </c>
    </row>
    <row r="3" spans="13:13" ht="14.25" customHeight="1" hidden="1">
      <c r="M3" s="72">
        <v>0</v>
      </c>
    </row>
    <row r="4" spans="13:13" ht="14.25" customHeight="1" hidden="1">
      <c r="M4" s="72">
        <v>0</v>
      </c>
    </row>
    <row r="5" spans="13:13" ht="14.25" customHeight="1" hidden="1">
      <c r="M5" s="72">
        <v>0</v>
      </c>
    </row>
    <row r="6" spans="3:13" ht="3" customHeight="1">
      <c r="C6" s="95"/>
      <c s="73"/>
      <c s="73"/>
      <c r="M6" s="72">
        <v>3</v>
      </c>
    </row>
    <row r="7" spans="3:13" ht="23.25" customHeight="1">
      <c r="C7" s="95"/>
      <c s="2103" t="s">
        <v>1899</v>
      </c>
      <c s="2103"/>
      <c s="270"/>
      <c r="M7" s="72">
        <v>22</v>
      </c>
    </row>
    <row r="8" spans="3:13" ht="3" customHeight="1">
      <c r="C8" s="95"/>
      <c s="73"/>
      <c s="73"/>
      <c r="M8" s="72">
        <v>3</v>
      </c>
    </row>
    <row r="9" spans="3:13" ht="16.8" customHeight="1">
      <c r="C9" s="95"/>
      <c s="108" t="s">
        <v>87</v>
      </c>
      <c s="111" t="s">
        <v>287</v>
      </c>
      <c r="M9" s="72">
        <v>16</v>
      </c>
    </row>
    <row r="10" spans="3:13" ht="12.75" customHeight="1">
      <c r="C10" s="95"/>
      <c s="90" t="s">
        <v>109</v>
      </c>
      <c s="90" t="s">
        <v>110</v>
      </c>
      <c r="M10" s="72">
        <v>12</v>
      </c>
    </row>
    <row r="11" spans="3:13" ht="15" customHeight="1" hidden="1">
      <c r="C11" s="95"/>
      <c s="116">
        <v>0</v>
      </c>
      <c s="152"/>
      <c r="M11" s="72">
        <v>0</v>
      </c>
    </row>
    <row r="12" spans="3:13" ht="14.7" customHeight="1">
      <c r="C12" s="95"/>
      <c s="112"/>
      <c s="110" t="s">
        <v>1897</v>
      </c>
      <c r="M12" s="72">
        <v>14</v>
      </c>
    </row>
    <row r="13" spans="1:13" ht="14.25" customHeight="1" hidden="1">
      <c r="A13" s="72" t="s">
        <v>81</v>
      </c>
      <c s="72">
        <v>0</v>
      </c>
      <c s="94">
        <v>3</v>
      </c>
      <c s="72">
        <v>6</v>
      </c>
      <c s="72">
        <v>94</v>
      </c>
      <c s="72">
        <v>8</v>
      </c>
      <c s="72">
        <v>8</v>
      </c>
      <c s="72">
        <v>8</v>
      </c>
      <c s="72">
        <v>8</v>
      </c>
      <c s="72">
        <v>8</v>
      </c>
      <c s="72">
        <v>8</v>
      </c>
      <c s="72">
        <v>8</v>
      </c>
      <c s="72">
        <v>14</v>
      </c>
    </row>
  </sheetData>
  <sheetProtection formatColumns="0" formatRows="0" insertRows="0" deleteColumns="0" deleteRows="0" sort="0" autoFilter="0"/>
  <mergeCells count="1">
    <mergeCell ref="D7:E7"/>
  </mergeCells>
  <dataValidations count="1">
    <dataValidation type="textLength" operator="lessThanOrEqual" allowBlank="1" showInputMessage="1" showErrorMessage="1" errorTitle="Ошибка" error="Допускается ввод не более 900 символов!" sqref="E11">
      <formula1>900</formula1>
    </dataValidation>
  </dataValidations>
  <pageMargins left="0.75" right="0.75" top="1" bottom="1" header="0.5" footer="0.5"/>
  <pageSetup orientation="portrait" paperSize="9" scale="94"/>
</worksheet>
</file>

<file path=xl/worksheets/sheet6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m="http://schemas.microsoft.com/office/excel/2006/main" xmlns:x14ac="http://schemas.microsoft.com/office/spreadsheetml/2009/9/ac" xmlns:xr="http://schemas.microsoft.com/office/spreadsheetml/2014/revision" xmlns:xr2="http://schemas.microsoft.com/office/spreadsheetml/2015/revision2" xmlns:xr3="http://schemas.microsoft.com/office/spreadsheetml/2016/revision3" xr:uid="{03A3CFBC-98E2-0FFA-D36B-26B56E432089}" mc:Ignorable="x14ac xr xr2 xr3">
  <sheetPr>
    <tabColor rgb="FFCCCCFF"/>
  </sheetPr>
  <dimension ref="A1:F5"/>
  <sheetViews>
    <sheetView showGridLines="0" zoomScale="90" zoomScaleNormal="90" workbookViewId="0" topLeftCell="A1">
      <selection pane="topLeft" activeCell="A1" sqref="A1"/>
    </sheetView>
  </sheetViews>
  <sheetFormatPr defaultColWidth="9.14428571428571" defaultRowHeight="11.25" customHeight="1"/>
  <cols>
    <col min="1" max="1" width="1.71428571428571" style="1853" customWidth="1"/>
    <col min="2" max="2" width="34.5714285714286" style="1853" customWidth="1"/>
    <col min="3" max="3" width="85" style="1853" customWidth="1"/>
    <col min="4" max="4" width="17" style="1853" customWidth="1"/>
    <col min="5" max="5" width="8" style="1853" customWidth="1"/>
    <col min="6" max="6" width="9.14285714285714" style="1853" hidden="1"/>
  </cols>
  <sheetData>
    <row r="1" spans="6:6" ht="3" customHeight="1">
      <c r="F1" s="92" t="s">
        <v>14</v>
      </c>
    </row>
    <row r="2" spans="2:6" ht="22.5" customHeight="1">
      <c r="B2" s="2616" t="s">
        <v>1900</v>
      </c>
      <c s="2503"/>
      <c s="2503"/>
      <c s="271"/>
      <c s="92">
        <v>22</v>
      </c>
    </row>
    <row r="3" spans="6:6" ht="3" customHeight="1">
      <c r="F3" s="92">
        <v>3</v>
      </c>
    </row>
    <row r="4" spans="2:6" ht="23.25" customHeight="1">
      <c r="B4" s="2617" t="s">
        <v>1901</v>
      </c>
      <c s="386" t="s">
        <v>1902</v>
      </c>
      <c s="386" t="s">
        <v>1903</v>
      </c>
      <c r="F4" s="92">
        <v>22</v>
      </c>
    </row>
    <row r="5" spans="1:6" ht="11.25" customHeight="1" hidden="1">
      <c r="A5" s="92" t="s">
        <v>81</v>
      </c>
      <c s="92">
        <v>34</v>
      </c>
      <c s="92">
        <v>85</v>
      </c>
      <c s="92">
        <v>17</v>
      </c>
      <c s="92">
        <v>8</v>
      </c>
      <c s="92">
        <v>11</v>
      </c>
    </row>
  </sheetData>
  <sheetProtection formatColumns="0" formatRows="0" insertRows="0" deleteColumns="0" deleteRows="0" sort="0" autoFilter="0"/>
  <autoFilter ref="B4:D4"/>
  <mergeCells count="1">
    <mergeCell ref="B2:D2"/>
  </mergeCells>
  <pageMargins left="0.7" right="0.7" top="0.75" bottom="0.75" header="0.3" footer="0.3"/>
  <pageSetup orientation="portrait"/>
</worksheet>
</file>

<file path=xl/worksheets/sheet6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m="http://schemas.microsoft.com/office/excel/2006/main" xmlns:x14ac="http://schemas.microsoft.com/office/spreadsheetml/2009/9/ac" xmlns:xr="http://schemas.microsoft.com/office/spreadsheetml/2014/revision" xmlns:xr2="http://schemas.microsoft.com/office/spreadsheetml/2015/revision2" xmlns:xr3="http://schemas.microsoft.com/office/spreadsheetml/2016/revision3" xr:uid="{6F4C98C7-E86B-8F45-91F9-A71859E5592D}" mc:Ignorable="x14ac xr xr2 xr3">
  <sheetPr>
    <tabColor rgb="FFFFCC99"/>
  </sheetPr>
  <dimension ref="A2:GB215"/>
  <sheetViews>
    <sheetView showGridLines="0" zoomScale="85" zoomScaleNormal="85" workbookViewId="0" topLeftCell="A1">
      <selection pane="topLeft" activeCell="A1" sqref="A1"/>
    </sheetView>
  </sheetViews>
  <sheetFormatPr defaultColWidth="9.14428571428571" defaultRowHeight="17.1" customHeight="1"/>
  <cols>
    <col min="1" max="1" width="26.5714285714286" style="1853" customWidth="1"/>
    <col min="2" max="2" width="10" style="1853" customWidth="1"/>
    <col min="3" max="3" width="9.14285714285714" style="1853"/>
    <col min="4" max="4" width="11.1428571428571" style="1853" customWidth="1"/>
    <col min="5" max="5" width="16.5714285714286" style="1853" customWidth="1"/>
    <col min="6" max="6" width="16.2857142857143" style="1853" customWidth="1"/>
    <col min="7" max="7" width="19.1428571428571" style="1853" customWidth="1"/>
    <col min="8" max="11" width="10" style="1853" customWidth="1"/>
    <col min="12" max="12" width="12.7142857142857" style="1853" customWidth="1"/>
    <col min="13" max="13" width="61.2857142857143" style="1853" customWidth="1"/>
    <col min="14" max="14" width="10" style="1853" customWidth="1"/>
    <col min="15" max="17" width="23.7142857142857" style="1853" customWidth="1"/>
    <col min="18" max="18" width="11.7142857142857" style="1853" customWidth="1"/>
    <col min="19" max="19" width="8.57142857142857" style="1853" customWidth="1"/>
    <col min="20" max="20" width="11.7142857142857" style="1853" customWidth="1"/>
    <col min="21" max="21" width="8.57142857142857" style="1853" customWidth="1"/>
    <col min="22" max="22" width="4.71428571428571" style="1853" customWidth="1"/>
    <col min="23" max="23" width="115.714285714286" style="1853" customWidth="1"/>
    <col min="24" max="24" width="115.285714285714" style="1853" customWidth="1"/>
    <col min="25" max="27" width="9.14285714285714" style="1853"/>
    <col min="28" max="28" width="115.714285714286" style="1853" customWidth="1"/>
    <col min="29" max="29" width="9.14285714285714" style="1853"/>
    <col min="30" max="90" width="115.714285714286" style="1853" customWidth="1"/>
    <col min="91" max="184" width="9.14285714285714" style="1853"/>
  </cols>
  <sheetData>
    <row r="2" spans="1:1" s="1818" customFormat="1" ht="17.25" customHeight="1">
      <c r="A2" s="1818" t="s">
        <v>1904</v>
      </c>
    </row>
    <row r="4" spans="3:5" s="267" customFormat="1" ht="15" customHeight="1">
      <c r="C4" s="1819"/>
      <c s="116"/>
      <c s="380"/>
    </row>
    <row r="6" spans="1:1" s="1818" customFormat="1" ht="17.25" customHeight="1">
      <c r="A6" s="1818" t="s">
        <v>1905</v>
      </c>
    </row>
    <row r="8" spans="3:5" s="267" customFormat="1" ht="17.25" customHeight="1">
      <c r="C8" s="1820"/>
      <c s="116"/>
      <c s="117"/>
    </row>
    <row r="11" spans="1:1" s="1818" customFormat="1" ht="17.25" customHeight="1">
      <c r="A11" s="1818" t="s">
        <v>1906</v>
      </c>
    </row>
    <row r="13" spans="1:19" s="1822" customFormat="1" ht="15" customHeight="1">
      <c r="A13" s="2220">
        <v>1</v>
      </c>
      <c s="1163"/>
      <c s="804" t="s">
        <v>689</v>
      </c>
      <c s="1821"/>
      <c s="1808">
        <f>A13</f>
        <v>1</v>
      </c>
      <c s="807"/>
      <c s="543" t="str">
        <f>"Территория "&amp;E13</f>
        <v>Территория 1</v>
      </c>
      <c s="795"/>
      <c s="795"/>
      <c s="792"/>
      <c s="1627"/>
      <c s="1627"/>
      <c s="1627"/>
      <c s="229"/>
      <c s="1627"/>
      <c s="228"/>
      <c s="228"/>
      <c s="228"/>
      <c s="228"/>
    </row>
    <row r="14" spans="1:80" s="1853" customFormat="1" ht="15" customHeight="1">
      <c r="A14" s="2220"/>
      <c s="1163">
        <v>1</v>
      </c>
      <c s="1163"/>
      <c s="803"/>
      <c s="1816" t="str">
        <f>A13&amp;"."&amp;B14</f>
        <v>1.1</v>
      </c>
      <c s="806">
        <f>$F$20</f>
        <v>0</v>
      </c>
      <c s="796"/>
      <c s="796"/>
      <c s="794"/>
      <c s="1627"/>
      <c s="1639"/>
      <c s="1639"/>
      <c s="1627" t="str">
        <f t="array" ref="M14">IF(ISERROR(MATCH(MID(N14,1,250),MID(note_ter,1,250),0)),"n","y")</f>
        <v>n</v>
      </c>
      <c s="1639"/>
      <c s="1627" t="str">
        <f>H14&amp;"("&amp;I14&amp;")"</f>
        <v>()</v>
      </c>
      <c s="1163"/>
      <c s="1163"/>
      <c s="423"/>
      <c s="1163"/>
      <c s="1163"/>
      <c s="1163"/>
      <c s="425"/>
      <c s="425"/>
      <c s="422"/>
      <c s="422"/>
      <c s="422"/>
      <c s="422"/>
      <c s="422"/>
      <c s="422"/>
      <c s="422"/>
      <c s="422"/>
      <c s="422"/>
      <c s="422"/>
      <c s="422"/>
      <c s="422"/>
      <c s="422"/>
      <c s="422"/>
      <c s="422"/>
      <c s="422"/>
      <c s="422"/>
      <c s="422"/>
      <c s="422"/>
      <c s="422"/>
      <c s="422"/>
      <c s="422"/>
      <c s="422"/>
      <c s="422"/>
      <c s="422"/>
      <c s="422"/>
      <c s="422"/>
      <c s="422"/>
      <c s="422"/>
      <c s="422"/>
      <c s="422"/>
      <c s="422"/>
      <c s="422"/>
      <c s="422"/>
      <c s="422"/>
      <c s="422"/>
      <c s="422"/>
      <c s="422"/>
      <c s="422"/>
      <c s="422"/>
      <c s="422"/>
      <c s="422"/>
      <c s="422"/>
      <c s="422"/>
      <c s="422"/>
      <c s="422"/>
      <c s="422"/>
      <c s="425"/>
      <c s="425"/>
      <c s="425"/>
      <c s="425"/>
      <c s="425"/>
      <c s="425"/>
      <c s="425"/>
      <c s="425"/>
      <c s="425"/>
      <c s="425"/>
    </row>
    <row r="15" spans="1:80" s="1853" customFormat="1" ht="15" customHeight="1">
      <c r="A15" s="2220"/>
      <c s="1163"/>
      <c s="415"/>
      <c s="804"/>
      <c s="424"/>
      <c s="180"/>
      <c s="418" t="s">
        <v>102</v>
      </c>
      <c s="190"/>
      <c s="427"/>
      <c s="1639"/>
      <c s="1639"/>
      <c s="1639"/>
      <c s="1639"/>
      <c s="1627"/>
      <c s="1639"/>
      <c s="1163"/>
      <c s="1163"/>
      <c s="423"/>
      <c s="1163"/>
      <c s="1163"/>
      <c s="1163"/>
      <c s="425"/>
      <c s="425"/>
      <c s="422"/>
      <c s="422"/>
      <c s="422"/>
      <c s="422"/>
      <c s="422"/>
      <c s="422"/>
      <c s="422"/>
      <c s="422"/>
      <c s="422"/>
      <c s="422"/>
      <c s="422"/>
      <c s="422"/>
      <c s="422"/>
      <c s="422"/>
      <c s="422"/>
      <c s="422"/>
      <c s="422"/>
      <c s="422"/>
      <c s="422"/>
      <c s="422"/>
      <c s="422"/>
      <c s="422"/>
      <c s="422"/>
      <c s="422"/>
      <c s="422"/>
      <c s="422"/>
      <c s="422"/>
      <c s="422"/>
      <c s="422"/>
      <c s="422"/>
      <c s="422"/>
      <c s="422"/>
      <c s="422"/>
      <c s="422"/>
      <c s="422"/>
      <c s="422"/>
      <c s="422"/>
      <c s="422"/>
      <c s="422"/>
      <c s="422"/>
      <c s="422"/>
      <c s="422"/>
      <c s="422"/>
      <c s="422"/>
      <c s="422"/>
      <c s="422"/>
      <c s="422"/>
      <c s="425"/>
      <c s="425"/>
      <c s="425"/>
      <c s="425"/>
      <c s="425"/>
      <c s="425"/>
      <c s="425"/>
      <c s="425"/>
      <c s="425"/>
      <c s="425"/>
    </row>
    <row r="17" spans="1:1" s="1818" customFormat="1" ht="17.25" customHeight="1">
      <c r="A17" s="1818" t="s">
        <v>1907</v>
      </c>
    </row>
    <row r="19" spans="1:80" s="1853" customFormat="1" ht="15" customHeight="1">
      <c r="A19" s="1885"/>
      <c s="1369">
        <v>1</v>
      </c>
      <c s="1369"/>
      <c s="803" t="s">
        <v>689</v>
      </c>
      <c s="1881"/>
      <c s="1886">
        <f>$F$20</f>
        <v>0</v>
      </c>
      <c s="1890"/>
      <c s="1890"/>
      <c s="1888"/>
      <c s="1627"/>
      <c s="1639"/>
      <c s="1639"/>
      <c s="1627" t="str">
        <f t="array" ref="M19">IF(ISERROR(MATCH(MID(N19,1,250),MID(note_ter,1,250),0)),"n","y")</f>
        <v>n</v>
      </c>
      <c s="1639"/>
      <c s="1627" t="str">
        <f>H19&amp;"("&amp;I19&amp;")"</f>
        <v>()</v>
      </c>
      <c s="1369"/>
      <c s="1369"/>
      <c s="423"/>
      <c s="1369"/>
      <c s="1369"/>
      <c s="1369"/>
      <c s="836"/>
      <c s="836"/>
      <c s="630"/>
      <c s="630"/>
      <c s="630"/>
      <c s="630"/>
      <c s="630"/>
      <c s="630"/>
      <c s="630"/>
      <c s="630"/>
      <c s="630"/>
      <c s="630"/>
      <c s="630"/>
      <c s="630"/>
      <c s="630"/>
      <c s="630"/>
      <c s="630"/>
      <c s="630"/>
      <c s="630"/>
      <c s="630"/>
      <c s="630"/>
      <c s="630"/>
      <c s="630"/>
      <c s="630"/>
      <c s="630"/>
      <c s="630"/>
      <c s="630"/>
      <c s="630"/>
      <c s="630"/>
      <c s="630"/>
      <c s="630"/>
      <c s="630"/>
      <c s="630"/>
      <c s="630"/>
      <c s="630"/>
      <c s="630"/>
      <c s="630"/>
      <c s="630"/>
      <c s="630"/>
      <c s="630"/>
      <c s="630"/>
      <c s="630"/>
      <c s="630"/>
      <c s="630"/>
      <c s="630"/>
      <c s="630"/>
      <c s="630"/>
      <c s="630"/>
      <c s="630"/>
      <c s="836"/>
      <c s="836"/>
      <c s="836"/>
      <c s="836"/>
      <c s="836"/>
      <c s="836"/>
      <c s="836"/>
      <c s="836"/>
      <c s="836"/>
      <c s="836"/>
    </row>
    <row r="21" spans="1:23" s="1853" customFormat="1" ht="15" customHeight="1">
      <c r="A21" s="1818" t="s">
        <v>1908</v>
      </c>
      <c s="1818"/>
      <c s="1818"/>
      <c s="1818"/>
      <c s="1818"/>
      <c s="1818"/>
      <c s="1818"/>
      <c s="1818"/>
      <c s="1818"/>
      <c s="1818"/>
      <c s="1818"/>
      <c s="1818"/>
      <c s="1818"/>
      <c s="1818"/>
      <c s="1818"/>
      <c s="1818"/>
      <c s="1818"/>
      <c s="1818"/>
      <c s="1818"/>
      <c s="1818"/>
      <c s="187"/>
      <c s="1818"/>
      <c s="1818"/>
    </row>
    <row r="22" spans="21:21" s="1853" customFormat="1" ht="15" customHeight="1">
      <c r="U22" s="188"/>
    </row>
    <row r="23" spans="1:38" s="1856" customFormat="1" ht="15" customHeight="1">
      <c r="A23" s="426"/>
      <c s="426"/>
      <c s="1731" t="s">
        <v>689</v>
      </c>
      <c s="2111" t="s">
        <v>109</v>
      </c>
      <c s="2112"/>
      <c s="2110" t="s">
        <v>19</v>
      </c>
      <c s="2560"/>
      <c s="2130">
        <v>1</v>
      </c>
      <c s="2562" t="str">
        <f>IF(U23="","",INDEX(TERRITORY_MR_LIST,MATCH(U23,TERRITORY_LIST_ID,0)))</f>
        <v/>
      </c>
      <c s="2110" t="s">
        <v>19</v>
      </c>
      <c s="835"/>
      <c s="1785" t="s">
        <v>109</v>
      </c>
      <c s="606"/>
      <c s="607"/>
      <c s="607"/>
      <c s="607"/>
      <c s="607"/>
      <c s="607"/>
      <c s="607"/>
      <c s="607"/>
      <c s="608"/>
      <c s="607"/>
      <c s="607"/>
      <c s="598"/>
      <c s="598" t="s">
        <v>120</v>
      </c>
      <c s="598">
        <v>1705000</v>
      </c>
      <c s="598"/>
      <c s="598"/>
      <c s="598"/>
      <c s="598"/>
      <c s="598"/>
      <c s="598"/>
      <c s="598"/>
      <c s="598"/>
      <c s="598"/>
      <c s="598"/>
      <c s="598"/>
      <c s="598"/>
    </row>
    <row r="24" spans="1:38" s="1856" customFormat="1" ht="15" customHeight="1">
      <c r="A24" s="426"/>
      <c s="426"/>
      <c s="179"/>
      <c s="2111"/>
      <c s="2113"/>
      <c s="2110"/>
      <c s="2561"/>
      <c s="2130"/>
      <c s="2563"/>
      <c s="2110"/>
      <c s="424"/>
      <c s="180"/>
      <c s="610" t="s">
        <v>121</v>
      </c>
      <c s="607"/>
      <c s="607"/>
      <c s="607"/>
      <c s="607"/>
      <c s="607"/>
      <c s="607"/>
      <c s="607"/>
      <c s="608"/>
      <c s="607"/>
      <c s="607"/>
      <c s="598"/>
      <c s="598"/>
      <c s="598"/>
      <c s="598"/>
      <c s="598"/>
      <c s="598"/>
      <c s="598"/>
      <c s="598"/>
      <c s="598"/>
      <c s="598"/>
      <c s="598"/>
      <c s="598"/>
      <c s="598"/>
      <c s="598"/>
      <c s="598"/>
    </row>
    <row r="25" spans="1:38" s="1856" customFormat="1" ht="15" customHeight="1">
      <c r="A25" s="426"/>
      <c s="426"/>
      <c s="179"/>
      <c s="2111"/>
      <c s="2114"/>
      <c s="2110"/>
      <c s="424"/>
      <c s="180"/>
      <c s="583" t="s">
        <v>122</v>
      </c>
      <c s="180"/>
      <c s="180"/>
      <c s="180"/>
      <c s="611"/>
      <c s="607"/>
      <c s="607"/>
      <c s="607"/>
      <c s="607"/>
      <c s="607"/>
      <c s="607"/>
      <c s="607"/>
      <c s="608"/>
      <c s="607"/>
      <c s="607"/>
      <c s="598"/>
      <c s="598"/>
      <c s="598"/>
      <c s="598"/>
      <c s="598"/>
      <c s="598"/>
      <c s="598"/>
      <c s="598"/>
      <c s="598"/>
      <c s="598"/>
      <c s="598"/>
      <c s="598"/>
      <c s="598"/>
      <c s="598"/>
      <c s="598"/>
    </row>
    <row r="26" spans="21:21" s="1853" customFormat="1" ht="15" customHeight="1">
      <c r="U26" s="188"/>
    </row>
    <row r="27" spans="1:23" s="1853" customFormat="1" ht="15" customHeight="1">
      <c r="A27" s="1818" t="s">
        <v>1909</v>
      </c>
      <c s="1818"/>
      <c s="1818"/>
      <c s="1818"/>
      <c s="1818"/>
      <c s="1818"/>
      <c s="1818"/>
      <c s="1818"/>
      <c s="1818"/>
      <c s="1818"/>
      <c s="1818"/>
      <c s="1818"/>
      <c s="1818"/>
      <c s="1818"/>
      <c s="1818"/>
      <c s="1818"/>
      <c s="1818"/>
      <c s="1818"/>
      <c s="1818"/>
      <c s="1818"/>
      <c s="187"/>
      <c s="1818"/>
      <c s="1818"/>
    </row>
    <row r="28" spans="21:21" s="1853" customFormat="1" ht="15" customHeight="1">
      <c r="U28" s="188"/>
    </row>
    <row r="29" spans="1:38" s="1856" customFormat="1" ht="15" customHeight="1">
      <c r="A29" s="426"/>
      <c s="426"/>
      <c s="179"/>
      <c s="1824"/>
      <c s="1824"/>
      <c s="1824"/>
      <c s="2564" t="s">
        <v>689</v>
      </c>
      <c s="2106">
        <v>1</v>
      </c>
      <c s="2565" t="str">
        <f>IF(U29="","",INDEX(TERRITORY_MR_LIST,MATCH(U29,TERRITORY_LIST_ID,0)))</f>
        <v/>
      </c>
      <c s="2110" t="s">
        <v>19</v>
      </c>
      <c s="835"/>
      <c s="1785" t="s">
        <v>109</v>
      </c>
      <c s="606"/>
      <c s="607"/>
      <c s="607"/>
      <c s="607"/>
      <c s="607"/>
      <c s="607"/>
      <c s="607"/>
      <c s="607"/>
      <c s="608"/>
      <c s="607"/>
      <c s="607"/>
      <c s="598"/>
      <c s="598" t="s">
        <v>120</v>
      </c>
      <c s="598">
        <v>1705000</v>
      </c>
      <c s="598"/>
      <c s="598"/>
      <c s="598"/>
      <c s="598"/>
      <c s="598"/>
      <c s="598"/>
      <c s="598"/>
      <c s="598"/>
      <c s="598"/>
      <c s="598"/>
      <c s="598"/>
      <c s="598"/>
    </row>
    <row r="30" spans="1:38" s="1856" customFormat="1" ht="15" customHeight="1">
      <c r="A30" s="426"/>
      <c s="426"/>
      <c s="179"/>
      <c s="1824"/>
      <c s="1824"/>
      <c s="1824"/>
      <c s="2564"/>
      <c s="2106"/>
      <c s="2565"/>
      <c s="2110"/>
      <c s="424"/>
      <c s="180"/>
      <c s="610" t="s">
        <v>121</v>
      </c>
      <c s="607"/>
      <c s="607"/>
      <c s="607"/>
      <c s="607"/>
      <c s="607"/>
      <c s="607"/>
      <c s="607"/>
      <c s="608"/>
      <c s="607"/>
      <c s="607"/>
      <c s="598"/>
      <c s="598"/>
      <c s="598"/>
      <c s="598"/>
      <c s="598"/>
      <c s="598"/>
      <c s="598"/>
      <c s="598"/>
      <c s="598"/>
      <c s="598"/>
      <c s="598"/>
      <c s="598"/>
      <c s="598"/>
      <c s="598"/>
      <c s="598"/>
    </row>
    <row r="31" spans="21:21" s="1853" customFormat="1" ht="15" customHeight="1">
      <c r="U31" s="188"/>
    </row>
    <row r="32" spans="1:23" s="1853" customFormat="1" ht="15" customHeight="1">
      <c r="A32" s="1818" t="s">
        <v>1910</v>
      </c>
      <c s="1818"/>
      <c s="1818"/>
      <c s="1818"/>
      <c s="1818"/>
      <c s="1818"/>
      <c s="1818"/>
      <c s="1818"/>
      <c s="1818"/>
      <c s="1818"/>
      <c s="1818"/>
      <c s="1818"/>
      <c s="1818"/>
      <c s="1818"/>
      <c s="1818"/>
      <c s="1818"/>
      <c s="1818"/>
      <c s="1818"/>
      <c s="1818"/>
      <c s="1818"/>
      <c s="187"/>
      <c s="1818"/>
      <c s="1818"/>
    </row>
    <row r="33" spans="21:21" s="1853" customFormat="1" ht="15" customHeight="1">
      <c r="U33" s="188"/>
    </row>
    <row r="34" spans="1:38" s="1856" customFormat="1" ht="15" customHeight="1">
      <c r="A34" s="426"/>
      <c s="426"/>
      <c s="179"/>
      <c s="1824"/>
      <c s="1824"/>
      <c s="1824"/>
      <c s="1824"/>
      <c s="1824"/>
      <c s="1824"/>
      <c s="1824"/>
      <c s="1802" t="s">
        <v>689</v>
      </c>
      <c s="1732" t="s">
        <v>109</v>
      </c>
      <c s="814"/>
      <c s="815"/>
      <c s="607"/>
      <c s="607"/>
      <c s="607"/>
      <c s="607"/>
      <c s="607"/>
      <c s="607"/>
      <c s="608"/>
      <c s="607"/>
      <c s="607"/>
      <c s="598"/>
      <c s="598" t="s">
        <v>120</v>
      </c>
      <c s="598">
        <v>1705000</v>
      </c>
      <c s="598"/>
      <c s="598"/>
      <c s="598"/>
      <c s="598"/>
      <c s="598"/>
      <c s="598"/>
      <c s="598"/>
      <c s="598"/>
      <c s="598"/>
      <c s="598"/>
      <c s="598"/>
      <c s="598"/>
    </row>
    <row r="35" spans="21:21" s="1853" customFormat="1" ht="15" customHeight="1">
      <c r="U35" s="188"/>
    </row>
    <row r="36" spans="21:21" s="1853" customFormat="1" ht="15" customHeight="1">
      <c r="U36" s="188"/>
    </row>
    <row r="37" spans="1:1" s="1818" customFormat="1" ht="11.25" customHeight="1">
      <c r="A37" s="1818" t="s">
        <v>1911</v>
      </c>
    </row>
    <row r="38" ht="11.25" customHeight="1"/>
    <row r="39" spans="1:8" s="458" customFormat="1" ht="22.5" customHeight="1">
      <c r="A39" s="1794"/>
      <c s="460"/>
      <c s="862"/>
      <c s="443"/>
      <c s="863"/>
      <c s="1815"/>
      <c s="1825"/>
      <c s="478"/>
    </row>
    <row r="40" ht="11.25" customHeight="1"/>
    <row r="41" spans="1:1" s="1818" customFormat="1" ht="11.25" customHeight="1">
      <c r="A41" s="1818" t="s">
        <v>1912</v>
      </c>
    </row>
    <row r="42" ht="11.25" customHeight="1"/>
    <row r="43" spans="1:8" s="458" customFormat="1" ht="22.5" customHeight="1">
      <c r="A43" s="460"/>
      <c s="460"/>
      <c s="460"/>
      <c s="443"/>
      <c s="863"/>
      <c s="864"/>
      <c s="1825"/>
      <c s="478"/>
    </row>
    <row r="44" ht="11.25" customHeight="1"/>
    <row r="45" spans="1:1" s="1818" customFormat="1" ht="11.25" customHeight="1">
      <c r="A45" s="1818" t="s">
        <v>1913</v>
      </c>
    </row>
    <row r="46" ht="11.25" customHeight="1"/>
    <row r="47" spans="1:9" s="458" customFormat="1" ht="24" customHeight="1">
      <c r="A47" s="2205" t="s">
        <v>313</v>
      </c>
      <c s="505"/>
      <c s="2216"/>
      <c s="448" t="str">
        <f>A47</f>
        <v>5.1</v>
      </c>
      <c s="445" t="s">
        <v>314</v>
      </c>
      <c s="1979" t="s">
        <v>306</v>
      </c>
      <c s="447" t="s">
        <v>315</v>
      </c>
      <c s="478"/>
      <c s="855"/>
    </row>
    <row r="48" spans="1:9" s="458" customFormat="1" ht="22.5" customHeight="1">
      <c r="A48" s="2205"/>
      <c s="505"/>
      <c s="2216"/>
      <c s="443" t="str">
        <f>D47&amp;".1"</f>
        <v>5.1.1</v>
      </c>
      <c s="442" t="s">
        <v>316</v>
      </c>
      <c s="1980" t="s">
        <v>22</v>
      </c>
      <c s="477"/>
      <c s="478"/>
      <c s="855"/>
    </row>
    <row r="49" spans="1:9" s="458" customFormat="1" ht="22.5" customHeight="1">
      <c r="A49" s="2205"/>
      <c s="505"/>
      <c s="2216"/>
      <c s="443" t="str">
        <f>D47&amp;".2"</f>
        <v>5.1.2</v>
      </c>
      <c s="442" t="s">
        <v>317</v>
      </c>
      <c s="1735" t="s">
        <v>22</v>
      </c>
      <c s="447" t="s">
        <v>318</v>
      </c>
      <c s="478"/>
      <c s="855"/>
    </row>
    <row r="50" spans="1:9" s="458" customFormat="1" ht="22.5" customHeight="1">
      <c r="A50" s="2205"/>
      <c s="505"/>
      <c s="2216"/>
      <c s="443" t="str">
        <f>D47&amp;".3"</f>
        <v>5.1.3</v>
      </c>
      <c s="442" t="s">
        <v>319</v>
      </c>
      <c s="1980" t="s">
        <v>22</v>
      </c>
      <c s="477"/>
      <c s="478"/>
      <c s="855"/>
    </row>
    <row r="51" spans="1:9" s="458" customFormat="1" ht="22.5" customHeight="1">
      <c r="A51" s="2205"/>
      <c s="505"/>
      <c s="2216"/>
      <c s="443" t="str">
        <f>D47&amp;".4"</f>
        <v>5.1.4</v>
      </c>
      <c s="442" t="s">
        <v>320</v>
      </c>
      <c s="1980" t="s">
        <v>22</v>
      </c>
      <c s="447" t="s">
        <v>321</v>
      </c>
      <c s="478"/>
      <c s="855"/>
    </row>
    <row r="54" spans="1:1" s="1818" customFormat="1" ht="17.25" customHeight="1">
      <c r="A54" s="1818" t="s">
        <v>1914</v>
      </c>
    </row>
    <row r="56" spans="1:22" s="1615" customFormat="1" ht="18.75" customHeight="1">
      <c r="A56" s="92"/>
      <c s="1826"/>
      <c s="1826"/>
      <c s="1827"/>
      <c s="1812"/>
      <c s="871">
        <v>13</v>
      </c>
      <c s="870"/>
      <c s="796"/>
      <c s="794"/>
      <c s="523" t="s">
        <v>19</v>
      </c>
      <c s="2635" t="s">
        <v>22</v>
      </c>
      <c s="92"/>
      <c s="1639"/>
      <c s="1639"/>
      <c s="1639"/>
      <c s="519" t="s">
        <v>392</v>
      </c>
      <c s="519" t="s">
        <v>393</v>
      </c>
      <c s="520" t="s">
        <v>394</v>
      </c>
      <c s="1639" t="s">
        <v>395</v>
      </c>
      <c s="1639"/>
      <c s="1639"/>
      <c s="1639"/>
    </row>
    <row r="58" spans="1:1" s="1818" customFormat="1" ht="11.25" customHeight="1">
      <c r="A58" s="1818" t="s">
        <v>1915</v>
      </c>
    </row>
    <row r="60" spans="3:45" s="1638" customFormat="1" ht="14.25" customHeight="1">
      <c r="C60" s="1691"/>
      <c s="1872"/>
      <c s="1780" t="s">
        <v>22</v>
      </c>
      <c s="1871"/>
      <c s="859"/>
      <c s="1781"/>
      <c s="1781"/>
      <c s="436"/>
      <c s="1866"/>
      <c s="435"/>
      <c s="1866"/>
      <c s="436"/>
      <c s="1866"/>
      <c s="436"/>
      <c s="1866"/>
      <c s="436"/>
      <c s="857"/>
      <c s="1781"/>
      <c s="436"/>
      <c s="436"/>
      <c s="1870"/>
      <c s="1781"/>
      <c s="436"/>
      <c s="436"/>
      <c s="1870"/>
      <c s="1781"/>
      <c s="436"/>
      <c s="1870"/>
      <c s="92"/>
      <c s="92"/>
      <c s="92"/>
      <c s="92"/>
      <c r="AJ60" s="1639"/>
      <c s="1639"/>
      <c s="1639"/>
      <c s="1639"/>
      <c s="1639"/>
      <c s="1639"/>
      <c s="1627" t="s">
        <v>381</v>
      </c>
      <c s="1627" t="s">
        <v>381</v>
      </c>
      <c s="1639"/>
      <c s="1639"/>
    </row>
    <row r="62" spans="1:1" s="1818" customFormat="1" ht="11.25" customHeight="1">
      <c r="A62" s="1818" t="s">
        <v>1916</v>
      </c>
    </row>
    <row r="64" spans="1:12" s="1826" customFormat="1" ht="15" customHeight="1">
      <c r="A64" s="148" t="s">
        <v>89</v>
      </c>
      <c s="128" t="s">
        <v>22</v>
      </c>
      <c s="1829"/>
      <c s="131"/>
      <c s="384"/>
      <c s="384"/>
      <c s="1806"/>
      <c s="1828"/>
      <c s="1807"/>
      <c r="K64" s="275"/>
      <c s="276"/>
    </row>
    <row r="66" spans="1:1" s="1818" customFormat="1" ht="11.25" customHeight="1">
      <c r="A66" s="1818" t="s">
        <v>1917</v>
      </c>
    </row>
    <row r="68" spans="1:10" s="1638" customFormat="1" ht="14.25" customHeight="1">
      <c r="A68" s="346"/>
      <c s="1163"/>
      <c s="379"/>
      <c s="1813"/>
      <c s="889"/>
      <c s="1828"/>
      <c s="92"/>
      <c r="I68" s="1627"/>
      <c s="1627"/>
    </row>
    <row r="70" spans="1:1" s="1818" customFormat="1" ht="11.25" customHeight="1">
      <c r="A70" s="1818" t="s">
        <v>1918</v>
      </c>
    </row>
    <row r="72" spans="1:30" s="1638" customFormat="1" ht="27" customHeight="1">
      <c r="A72" s="1169"/>
      <c s="1169"/>
      <c s="1169"/>
      <c s="1163"/>
      <c s="1830"/>
      <c s="2584"/>
      <c s="2585"/>
      <c s="2586" t="s">
        <v>65</v>
      </c>
      <c s="2588"/>
      <c s="2551"/>
      <c s="2590"/>
      <c s="2553"/>
      <c s="2553"/>
      <c s="2554"/>
      <c s="2554"/>
      <c s="2555">
        <f>DATEDIF(DATEVALUE(N72),DATEVALUE(O72),"y")&amp;"г. "&amp;DATEDIF(DATEVALUE(N72),DATEVALUE(O72),"ym")&amp;"мес. "&amp;DATEVALUE(O72)-DATE(YEAR(DATEVALUE(O72)),MONTH(DATEVALUE(O72)),1)&amp;"дн. "</f>
      </c>
      <c s="2550"/>
      <c s="2550"/>
      <c s="2550"/>
      <c s="2551"/>
      <c s="2550"/>
      <c s="2550"/>
      <c s="2550"/>
      <c s="2551"/>
      <c s="2548" t="s">
        <v>65</v>
      </c>
      <c s="1811"/>
      <c s="1795">
        <v>1</v>
      </c>
      <c s="1245"/>
      <c r="AD72" s="1639" t="s">
        <v>1919</v>
      </c>
    </row>
    <row r="73" spans="1:28" s="1638" customFormat="1" ht="10.5" customHeight="1">
      <c r="A73" s="1169"/>
      <c s="1169"/>
      <c s="1169"/>
      <c s="1163"/>
      <c s="950"/>
      <c s="2584"/>
      <c s="2585"/>
      <c s="2587"/>
      <c s="2589"/>
      <c s="2552"/>
      <c s="2590"/>
      <c s="2553"/>
      <c s="2553"/>
      <c s="2554"/>
      <c s="2554"/>
      <c s="2555"/>
      <c s="2550"/>
      <c s="2550"/>
      <c s="2550"/>
      <c s="2552"/>
      <c s="2550"/>
      <c s="2550"/>
      <c s="2550"/>
      <c s="2552"/>
      <c s="2549"/>
      <c s="350"/>
      <c s="575"/>
      <c s="655" t="s">
        <v>1920</v>
      </c>
    </row>
    <row r="75" spans="1:1" s="1818" customFormat="1" ht="11.25" customHeight="1">
      <c r="A75" s="1818" t="s">
        <v>1921</v>
      </c>
    </row>
    <row r="77" spans="1:30" s="1638" customFormat="1" ht="27" customHeight="1">
      <c r="A77" s="1169"/>
      <c s="1169"/>
      <c s="1169"/>
      <c s="1163"/>
      <c s="1830"/>
      <c s="1800"/>
      <c s="1750"/>
      <c s="1751"/>
      <c s="1752"/>
      <c s="1753"/>
      <c s="1754"/>
      <c s="1755"/>
      <c s="1755"/>
      <c s="1756"/>
      <c s="1756"/>
      <c s="1757"/>
      <c s="1758"/>
      <c s="1758"/>
      <c s="1758"/>
      <c s="1753"/>
      <c s="1758"/>
      <c s="1758"/>
      <c s="1758"/>
      <c s="1753"/>
      <c s="1751"/>
      <c s="1811"/>
      <c s="1795">
        <v>1</v>
      </c>
      <c s="1245"/>
      <c r="AD77" s="1639" t="s">
        <v>1919</v>
      </c>
    </row>
    <row r="79" spans="1:1" s="1818" customFormat="1" ht="11.25" customHeight="1">
      <c r="A79" s="1818" t="s">
        <v>1922</v>
      </c>
    </row>
    <row r="80" ht="17.25" customHeight="1" thickBot="1"/>
    <row r="81" spans="1:58" s="1638" customFormat="1" ht="21" customHeight="1">
      <c r="A81" s="1170"/>
      <c s="1169"/>
      <c s="1169"/>
      <c s="1163"/>
      <c s="1173"/>
      <c s="1125">
        <f>INDEX(IP_MAIN_LIST_NAME_IP,MATCH(A81,IP_MAIN_LIST_IP_ID,0))&amp;" ("&amp;INDEX(IP_MAIN_START_DATE,MATCH(A81,IP_MAIN_LIST_IP_ID,0))&amp;"-"&amp;INDEX(IP_MAIN_END_DATE,MATCH(A81,IP_MAIN_LIST_IP_ID,0))&amp;")"</f>
      </c>
      <c s="1126"/>
      <c s="1126"/>
      <c s="1188"/>
      <c s="1188"/>
      <c s="1189"/>
      <c s="1189"/>
      <c s="1189"/>
      <c s="1190"/>
      <c s="1190"/>
      <c s="1190"/>
      <c s="1190"/>
      <c s="1190"/>
      <c s="1190"/>
      <c s="1190"/>
      <c s="1190"/>
      <c s="1190"/>
      <c s="1190"/>
      <c s="1190"/>
      <c s="1190"/>
      <c s="1190"/>
      <c s="1190"/>
      <c s="1190"/>
      <c s="1190"/>
      <c s="1190"/>
      <c s="1191"/>
      <c s="1189"/>
      <c s="1189"/>
      <c s="1189"/>
      <c s="1189"/>
      <c s="1189"/>
      <c s="1189"/>
      <c s="1991"/>
      <c s="1826"/>
      <c s="1826"/>
      <c s="1826"/>
      <c s="1826"/>
      <c s="1826"/>
      <c s="1826"/>
      <c s="1826"/>
      <c s="1826"/>
      <c s="1826"/>
      <c s="1826"/>
      <c s="1826"/>
      <c s="1826"/>
      <c s="1826"/>
      <c s="1826"/>
      <c s="1826"/>
      <c s="1826"/>
      <c s="1826"/>
      <c s="1826"/>
      <c s="1826"/>
      <c s="1826"/>
    </row>
    <row r="82" spans="1:58" s="1638" customFormat="1" ht="0.75" customHeight="1">
      <c r="A82" s="1169"/>
      <c s="1169"/>
      <c s="1169"/>
      <c s="1163"/>
      <c s="1173"/>
      <c s="2539"/>
      <c s="2518"/>
      <c s="2543" t="s">
        <v>376</v>
      </c>
      <c s="2544"/>
      <c s="2545"/>
      <c s="2545"/>
      <c s="2537"/>
      <c s="2271"/>
      <c s="2039"/>
      <c s="2038"/>
      <c s="2039"/>
      <c s="2039"/>
      <c s="2039"/>
      <c s="2039"/>
      <c s="2039"/>
      <c s="2039"/>
      <c s="2039"/>
      <c s="2039"/>
      <c s="2039"/>
      <c s="2039"/>
      <c s="2039"/>
      <c s="2039"/>
      <c s="2039"/>
      <c s="2039"/>
      <c s="2039"/>
      <c s="2039"/>
      <c s="2541"/>
      <c s="2537"/>
      <c s="2537"/>
      <c s="2541"/>
      <c s="2537"/>
      <c s="2537"/>
      <c s="1991"/>
      <c s="1826"/>
      <c s="1826"/>
      <c s="1826"/>
      <c s="1826"/>
      <c s="1826"/>
      <c s="1826"/>
      <c s="1826"/>
      <c s="1826"/>
      <c s="1826"/>
      <c s="1826"/>
      <c s="1826"/>
      <c s="1826"/>
      <c s="1826"/>
      <c s="1826"/>
      <c s="1826"/>
      <c s="1826"/>
      <c s="1826"/>
      <c s="1826"/>
      <c s="1826"/>
      <c s="1826"/>
    </row>
    <row r="83" spans="1:58" s="1638" customFormat="1" ht="0.75" customHeight="1">
      <c r="A83" s="1169"/>
      <c s="1169"/>
      <c s="1169"/>
      <c s="1163"/>
      <c s="1173"/>
      <c s="2539"/>
      <c s="2518"/>
      <c s="2543"/>
      <c s="2544"/>
      <c s="2545"/>
      <c s="2545"/>
      <c s="2537"/>
      <c s="2271"/>
      <c s="2546"/>
      <c s="2547"/>
      <c s="2591"/>
      <c s="2542"/>
      <c s="2542"/>
      <c s="2542"/>
      <c s="2542"/>
      <c s="2542"/>
      <c s="2542"/>
      <c s="2542"/>
      <c s="2542"/>
      <c s="2542"/>
      <c s="2040"/>
      <c s="2041"/>
      <c s="2041"/>
      <c s="2042"/>
      <c s="2042"/>
      <c s="2043"/>
      <c s="2541"/>
      <c s="2537"/>
      <c s="2537"/>
      <c s="2541"/>
      <c s="2537"/>
      <c s="2537"/>
      <c s="1991"/>
      <c s="1826"/>
      <c s="1826"/>
      <c s="1826"/>
      <c s="1826"/>
      <c s="1826"/>
      <c s="1826"/>
      <c s="1826"/>
      <c s="1826"/>
      <c s="1826"/>
      <c s="1826"/>
      <c s="1826"/>
      <c s="1826"/>
      <c s="1826"/>
      <c s="1826"/>
      <c s="1826"/>
      <c s="1826"/>
      <c s="1826"/>
      <c s="1826"/>
      <c s="1826"/>
      <c s="1826"/>
    </row>
    <row r="84" spans="1:58" s="1638" customFormat="1" ht="0.75" customHeight="1">
      <c r="A84" s="1169"/>
      <c s="1169"/>
      <c s="1169"/>
      <c s="1163"/>
      <c s="1173"/>
      <c s="2539"/>
      <c s="2518"/>
      <c s="2543"/>
      <c s="2544"/>
      <c s="2545"/>
      <c s="2545"/>
      <c s="2537"/>
      <c s="2271"/>
      <c s="2546"/>
      <c s="2547"/>
      <c s="2592"/>
      <c s="2542"/>
      <c s="2542"/>
      <c s="2542"/>
      <c s="2542"/>
      <c s="2542"/>
      <c s="2542"/>
      <c s="2542"/>
      <c s="2542"/>
      <c s="2542"/>
      <c s="2044"/>
      <c s="2045"/>
      <c s="2046"/>
      <c s="2047"/>
      <c s="2046"/>
      <c s="2047"/>
      <c s="2541"/>
      <c s="2537"/>
      <c s="2537"/>
      <c s="2541"/>
      <c s="2537"/>
      <c s="2537"/>
      <c s="1991"/>
      <c s="1826"/>
      <c s="1826"/>
      <c s="1826"/>
      <c s="1826"/>
      <c s="1826"/>
      <c s="1826"/>
      <c s="1826"/>
      <c s="1826"/>
      <c s="1826"/>
      <c s="1826"/>
      <c s="1826"/>
      <c s="1826"/>
      <c s="1826"/>
      <c s="1826"/>
      <c s="1826"/>
      <c s="1826"/>
      <c s="1826"/>
      <c s="1826"/>
      <c s="1826"/>
      <c s="1826"/>
    </row>
    <row r="85" spans="1:58" s="1638" customFormat="1" ht="0.75" customHeight="1">
      <c r="A85" s="1169"/>
      <c s="1169"/>
      <c s="1169"/>
      <c s="1163"/>
      <c s="1173"/>
      <c s="2539"/>
      <c s="2518"/>
      <c s="2543"/>
      <c s="2544"/>
      <c s="2545"/>
      <c s="2545"/>
      <c s="2537"/>
      <c s="2271"/>
      <c s="2546"/>
      <c s="2547"/>
      <c s="2593"/>
      <c s="2542"/>
      <c s="2542"/>
      <c s="2542"/>
      <c s="2542"/>
      <c s="2542"/>
      <c s="2542"/>
      <c s="2542"/>
      <c s="2542"/>
      <c s="2542"/>
      <c s="2040"/>
      <c s="2041"/>
      <c s="2048"/>
      <c s="2042"/>
      <c s="2042"/>
      <c s="2049"/>
      <c s="2541"/>
      <c s="2537"/>
      <c s="2537"/>
      <c s="2541"/>
      <c s="2537"/>
      <c s="2537"/>
      <c s="1991"/>
      <c s="1826"/>
      <c s="1826"/>
      <c s="1826"/>
      <c s="1826"/>
      <c s="1826"/>
      <c s="1826"/>
      <c s="1826"/>
      <c s="1826"/>
      <c s="1826"/>
      <c s="1826"/>
      <c s="1826"/>
      <c s="1826"/>
      <c s="1826"/>
      <c s="1826"/>
      <c s="1826"/>
      <c s="1826"/>
      <c s="1826"/>
      <c s="1826"/>
      <c s="1826"/>
      <c s="1826"/>
    </row>
    <row r="86" spans="1:58" s="1638" customFormat="1" ht="0.75" customHeight="1">
      <c r="A86" s="1169"/>
      <c s="1169"/>
      <c s="1169"/>
      <c s="1163"/>
      <c s="1173"/>
      <c s="2539"/>
      <c s="2518"/>
      <c s="2543"/>
      <c s="2544"/>
      <c s="2545"/>
      <c s="2545"/>
      <c s="2537"/>
      <c s="2271"/>
      <c s="2041"/>
      <c s="2041"/>
      <c s="2048"/>
      <c s="2041"/>
      <c s="2041"/>
      <c s="2041"/>
      <c s="2041"/>
      <c s="2041"/>
      <c s="2041"/>
      <c s="2041"/>
      <c s="2041"/>
      <c s="2041"/>
      <c s="2041"/>
      <c s="2041"/>
      <c s="2041"/>
      <c s="2041"/>
      <c s="2041"/>
      <c s="2050"/>
      <c s="2541"/>
      <c s="2537"/>
      <c s="2537"/>
      <c s="2541"/>
      <c s="2537"/>
      <c s="2537"/>
      <c s="1991"/>
      <c s="1826"/>
      <c s="1826"/>
      <c s="1826"/>
      <c s="1826"/>
      <c s="1826"/>
      <c s="1826"/>
      <c s="1826"/>
      <c s="1826"/>
      <c s="1826"/>
      <c s="1826"/>
      <c s="1826"/>
      <c s="1826"/>
      <c s="1826"/>
      <c s="1826"/>
      <c s="1826"/>
      <c s="1826"/>
      <c s="1826"/>
      <c s="1826"/>
      <c s="1826"/>
      <c s="1826"/>
    </row>
    <row r="87" spans="1:58" s="1638" customFormat="1" ht="12" customHeight="1" thickBot="1">
      <c r="A87" s="1169"/>
      <c s="1169"/>
      <c s="1169"/>
      <c s="1163"/>
      <c s="1173"/>
      <c s="2540"/>
      <c s="1193"/>
      <c s="1193"/>
      <c s="2538" t="s">
        <v>1923</v>
      </c>
      <c s="2538"/>
      <c s="2538"/>
      <c s="1176"/>
      <c s="1176"/>
      <c s="1177"/>
      <c s="1177"/>
      <c s="1177"/>
      <c s="1177"/>
      <c s="1177"/>
      <c s="1177"/>
      <c s="1177"/>
      <c s="1177"/>
      <c s="1177"/>
      <c s="1177"/>
      <c s="1177"/>
      <c s="1177"/>
      <c s="1177"/>
      <c s="1177"/>
      <c s="1177"/>
      <c s="1177"/>
      <c s="1177"/>
      <c s="1177"/>
      <c s="1177"/>
      <c s="1176"/>
      <c s="1176"/>
      <c s="1177"/>
      <c s="1176"/>
      <c s="1177"/>
      <c s="1991"/>
      <c s="1826"/>
      <c s="1826"/>
      <c s="1826"/>
      <c s="1826"/>
      <c s="1826"/>
      <c s="1826"/>
      <c s="1826"/>
      <c s="1826"/>
      <c s="1826"/>
      <c s="1826"/>
      <c s="1826"/>
      <c s="1826"/>
      <c s="1826"/>
      <c s="1826"/>
      <c s="1826"/>
      <c s="1826"/>
      <c s="1826"/>
      <c s="1826"/>
      <c s="1826"/>
      <c s="1826"/>
    </row>
    <row r="89" spans="1:1" s="1818" customFormat="1" ht="11.25" customHeight="1">
      <c r="A89" s="1818" t="s">
        <v>1924</v>
      </c>
    </row>
    <row r="91" spans="1:58" s="1638" customFormat="1" ht="11.25" customHeight="1">
      <c r="A91" s="1169"/>
      <c s="1169"/>
      <c s="1169"/>
      <c s="1163"/>
      <c s="1173"/>
      <c s="1832"/>
      <c s="1833"/>
      <c s="1833"/>
      <c s="1767"/>
      <c s="1767"/>
      <c s="1834"/>
      <c s="1767"/>
      <c s="1833"/>
      <c s="2511"/>
      <c s="2594">
        <v>1</v>
      </c>
      <c s="2513" t="s">
        <v>19</v>
      </c>
      <c s="2516" t="s">
        <v>22</v>
      </c>
      <c s="2516" t="s">
        <v>22</v>
      </c>
      <c s="2516" t="s">
        <v>22</v>
      </c>
      <c s="2516" t="s">
        <v>22</v>
      </c>
      <c s="2516" t="s">
        <v>22</v>
      </c>
      <c s="2516" t="s">
        <v>22</v>
      </c>
      <c s="2516" t="s">
        <v>22</v>
      </c>
      <c s="2516" t="s">
        <v>22</v>
      </c>
      <c s="2516"/>
      <c s="1178"/>
      <c s="1179"/>
      <c s="1179"/>
      <c s="1183"/>
      <c s="1183"/>
      <c s="1183"/>
      <c s="1835"/>
      <c s="1762"/>
      <c s="1762"/>
      <c s="1835"/>
      <c s="1762"/>
      <c s="1990"/>
      <c s="1991"/>
      <c s="1826"/>
      <c s="1826"/>
      <c s="1826"/>
      <c s="1826"/>
      <c s="1826"/>
      <c s="1826"/>
      <c s="1826"/>
      <c s="1826"/>
      <c s="1826"/>
      <c s="1826"/>
      <c s="1826"/>
      <c s="1826"/>
      <c s="1826"/>
      <c s="1826"/>
      <c s="1826"/>
      <c s="1826"/>
      <c s="1826"/>
      <c s="1826"/>
      <c s="1826"/>
      <c s="1826"/>
    </row>
    <row r="92" spans="1:58" s="1638" customFormat="1" ht="11.25" customHeight="1">
      <c r="A92" s="1169"/>
      <c s="1169"/>
      <c s="1169"/>
      <c s="1163"/>
      <c s="1173"/>
      <c s="1832"/>
      <c s="1833"/>
      <c s="1833"/>
      <c s="1768"/>
      <c s="1768"/>
      <c s="1834"/>
      <c s="1768"/>
      <c s="1833"/>
      <c s="2511"/>
      <c s="2594"/>
      <c s="2514"/>
      <c s="2516"/>
      <c s="2516"/>
      <c s="2517"/>
      <c s="2516"/>
      <c s="2516"/>
      <c s="2516"/>
      <c s="2516"/>
      <c s="2516"/>
      <c s="2516"/>
      <c s="1831"/>
      <c s="1797">
        <v>1</v>
      </c>
      <c s="1182"/>
      <c s="1172"/>
      <c s="1182">
        <f>AB92</f>
        <v>0</v>
      </c>
      <c s="727"/>
      <c s="1834"/>
      <c s="1762"/>
      <c s="1762"/>
      <c s="1834"/>
      <c s="1762"/>
      <c s="1990"/>
      <c s="1991"/>
      <c s="1826"/>
      <c s="1826"/>
      <c s="1826"/>
      <c s="1826"/>
      <c s="1826"/>
      <c s="1826"/>
      <c s="1826"/>
      <c s="1826"/>
      <c s="1826"/>
      <c s="1826"/>
      <c s="1826"/>
      <c s="1826"/>
      <c s="1826"/>
      <c s="1826"/>
      <c s="1826"/>
      <c s="1826"/>
      <c s="1826"/>
      <c s="1826"/>
      <c s="1826"/>
      <c s="1826"/>
    </row>
    <row r="93" spans="1:58" s="1638" customFormat="1" ht="11.25" customHeight="1">
      <c r="A93" s="1169"/>
      <c s="1169"/>
      <c s="1169"/>
      <c s="1163"/>
      <c s="1173"/>
      <c s="1832"/>
      <c s="1833"/>
      <c s="1833"/>
      <c s="1769"/>
      <c s="1769"/>
      <c s="1834"/>
      <c s="1769"/>
      <c s="1833"/>
      <c s="2511"/>
      <c s="2594"/>
      <c s="2515"/>
      <c s="2516"/>
      <c s="2516"/>
      <c s="2517"/>
      <c s="2516"/>
      <c s="2516"/>
      <c s="2516"/>
      <c s="2516"/>
      <c s="2516"/>
      <c s="2516"/>
      <c s="1178"/>
      <c s="1179"/>
      <c s="1244" t="s">
        <v>1925</v>
      </c>
      <c s="1183"/>
      <c s="1183"/>
      <c s="1183"/>
      <c s="1836"/>
      <c s="1762"/>
      <c s="1762"/>
      <c s="1836"/>
      <c s="1762"/>
      <c s="1990"/>
      <c s="1991"/>
      <c s="1826"/>
      <c s="1826"/>
      <c s="1826"/>
      <c s="1826"/>
      <c s="1826"/>
      <c s="1826"/>
      <c s="1826"/>
      <c s="1826"/>
      <c s="1826"/>
      <c s="1826"/>
      <c s="1826"/>
      <c s="1826"/>
      <c s="1826"/>
      <c s="1826"/>
      <c s="1826"/>
      <c s="1826"/>
      <c s="1826"/>
      <c s="1826"/>
      <c s="1826"/>
      <c s="1826"/>
    </row>
    <row r="95" spans="1:1" s="1818" customFormat="1" ht="11.25" customHeight="1">
      <c r="A95" s="1818" t="s">
        <v>1926</v>
      </c>
    </row>
    <row r="97" spans="1:58" s="1638" customFormat="1" ht="11.25" customHeight="1">
      <c r="A97" s="1169"/>
      <c s="1169"/>
      <c s="1169"/>
      <c s="1163"/>
      <c s="1173"/>
      <c s="1833"/>
      <c s="1833"/>
      <c s="1833"/>
      <c s="1833"/>
      <c s="1833"/>
      <c s="1833"/>
      <c s="1833"/>
      <c s="1833"/>
      <c s="1833"/>
      <c s="1833"/>
      <c s="1833"/>
      <c s="1833"/>
      <c s="1833"/>
      <c s="1833"/>
      <c s="1833"/>
      <c s="1833"/>
      <c s="1833"/>
      <c s="1833"/>
      <c s="1833"/>
      <c s="1833"/>
      <c s="1837"/>
      <c s="1817">
        <v>1</v>
      </c>
      <c s="1182"/>
      <c s="1172"/>
      <c s="1182">
        <f>AB97</f>
        <v>0</v>
      </c>
      <c s="1172"/>
      <c s="1834"/>
      <c s="1762"/>
      <c s="1762"/>
      <c s="1834"/>
      <c s="1762"/>
      <c s="1990"/>
      <c s="1991"/>
      <c s="1826"/>
      <c s="1826"/>
      <c s="1826"/>
      <c s="1826"/>
      <c s="1826"/>
      <c s="1826"/>
      <c s="1826"/>
      <c s="1826"/>
      <c s="1826"/>
      <c s="1826"/>
      <c s="1826"/>
      <c s="1826"/>
      <c s="1826"/>
      <c s="1826"/>
      <c s="1826"/>
      <c s="1826"/>
      <c s="1826"/>
      <c s="1826"/>
      <c s="1826"/>
      <c s="1826"/>
    </row>
    <row r="99" spans="1:1" s="1818" customFormat="1" ht="11.25" customHeight="1">
      <c r="A99" s="1818" t="s">
        <v>1927</v>
      </c>
    </row>
    <row r="101" spans="1:58" s="1638" customFormat="1" ht="11.25" customHeight="1">
      <c r="A101" s="1169"/>
      <c s="1169"/>
      <c s="1169"/>
      <c s="1163"/>
      <c s="1173"/>
      <c s="1832"/>
      <c s="1833"/>
      <c s="2518" t="s">
        <v>109</v>
      </c>
      <c s="2519"/>
      <c s="2488"/>
      <c s="2520"/>
      <c s="2110" t="s">
        <v>19</v>
      </c>
      <c s="2111"/>
      <c s="1989"/>
      <c s="1180" t="s">
        <v>376</v>
      </c>
      <c s="1181"/>
      <c s="1181"/>
      <c s="1181"/>
      <c s="1181"/>
      <c s="1181"/>
      <c s="1181"/>
      <c s="1181"/>
      <c s="1181"/>
      <c s="1181"/>
      <c s="1181"/>
      <c s="1181"/>
      <c s="1181"/>
      <c s="1181"/>
      <c s="1181"/>
      <c s="1181"/>
      <c s="1181"/>
      <c s="2509"/>
      <c s="2510"/>
      <c s="2510"/>
      <c s="2509"/>
      <c s="2510"/>
      <c s="2510"/>
      <c s="1991"/>
      <c s="1826"/>
      <c s="1826"/>
      <c s="1826"/>
      <c s="1826"/>
      <c s="1826"/>
      <c s="1826"/>
      <c s="1826"/>
      <c s="1826"/>
      <c s="1826"/>
      <c s="1826"/>
      <c s="1826"/>
      <c s="1826"/>
      <c s="1826"/>
      <c s="1826"/>
      <c s="1826"/>
      <c s="1826"/>
      <c s="1826"/>
      <c s="1826"/>
      <c s="1826"/>
      <c s="1826"/>
    </row>
    <row r="102" spans="1:58" s="1638" customFormat="1" ht="11.25" customHeight="1">
      <c r="A102" s="1169"/>
      <c s="1169"/>
      <c s="1169"/>
      <c s="1163"/>
      <c s="1173"/>
      <c s="1832"/>
      <c s="1833"/>
      <c s="2518"/>
      <c s="2519"/>
      <c s="2488"/>
      <c s="2520"/>
      <c s="2110"/>
      <c s="2111"/>
      <c s="2511"/>
      <c s="2512">
        <v>1</v>
      </c>
      <c s="2513" t="s">
        <v>19</v>
      </c>
      <c s="2516" t="s">
        <v>22</v>
      </c>
      <c s="2516" t="s">
        <v>22</v>
      </c>
      <c s="2516" t="s">
        <v>22</v>
      </c>
      <c s="2516" t="s">
        <v>22</v>
      </c>
      <c s="2516" t="s">
        <v>22</v>
      </c>
      <c s="2516" t="s">
        <v>22</v>
      </c>
      <c s="2516" t="s">
        <v>22</v>
      </c>
      <c s="2516" t="s">
        <v>22</v>
      </c>
      <c s="2516"/>
      <c s="1178"/>
      <c s="1179"/>
      <c s="1179"/>
      <c s="1183"/>
      <c s="1183"/>
      <c s="1184"/>
      <c s="2509"/>
      <c s="2510"/>
      <c s="2510"/>
      <c s="2509"/>
      <c s="2510"/>
      <c s="2510"/>
      <c s="1991"/>
      <c s="1826"/>
      <c s="1826"/>
      <c s="1826"/>
      <c s="1826"/>
      <c s="1826"/>
      <c s="1826"/>
      <c s="1826"/>
      <c s="1826"/>
      <c s="1826"/>
      <c s="1826"/>
      <c s="1826"/>
      <c s="1826"/>
      <c s="1826"/>
      <c s="1826"/>
      <c s="1826"/>
      <c s="1826"/>
      <c s="1826"/>
      <c s="1826"/>
      <c s="1826"/>
      <c s="1826"/>
    </row>
    <row r="103" spans="1:58" s="1638" customFormat="1" ht="11.25" customHeight="1">
      <c r="A103" s="1169"/>
      <c s="1169"/>
      <c s="1169"/>
      <c s="1163"/>
      <c s="1173"/>
      <c s="1832"/>
      <c s="1833"/>
      <c s="2518"/>
      <c s="2519"/>
      <c s="2488"/>
      <c s="2520"/>
      <c s="2110"/>
      <c s="2111"/>
      <c s="2511"/>
      <c s="2512"/>
      <c s="2514"/>
      <c s="2516"/>
      <c s="2516"/>
      <c s="2517"/>
      <c s="2516"/>
      <c s="2516"/>
      <c s="2516"/>
      <c s="2516"/>
      <c s="2516"/>
      <c s="2516"/>
      <c s="1831"/>
      <c s="1797">
        <v>1</v>
      </c>
      <c s="1182"/>
      <c s="1172"/>
      <c s="1182">
        <f>AB103</f>
        <v>0</v>
      </c>
      <c s="1172"/>
      <c s="2509"/>
      <c s="2510"/>
      <c s="2510"/>
      <c s="2509"/>
      <c s="2510"/>
      <c s="2510"/>
      <c s="1991"/>
      <c s="1826"/>
      <c s="1826"/>
      <c s="1826"/>
      <c s="1826"/>
      <c s="1826"/>
      <c s="1826"/>
      <c s="1826"/>
      <c s="1826"/>
      <c s="1826"/>
      <c s="1826"/>
      <c s="1826"/>
      <c s="1826"/>
      <c s="1826"/>
      <c s="1826"/>
      <c s="1826"/>
      <c s="1826"/>
      <c s="1826"/>
      <c s="1826"/>
      <c s="1826"/>
      <c s="1826"/>
    </row>
    <row r="104" spans="1:58" s="1638" customFormat="1" ht="11.25" customHeight="1">
      <c r="A104" s="1169"/>
      <c s="1169"/>
      <c s="1169"/>
      <c s="1163"/>
      <c s="1173"/>
      <c s="1832"/>
      <c s="1833"/>
      <c s="2518"/>
      <c s="2519"/>
      <c s="2488"/>
      <c s="2520"/>
      <c s="2110"/>
      <c s="2111"/>
      <c s="2511"/>
      <c s="2512"/>
      <c s="2515"/>
      <c s="2516"/>
      <c s="2516"/>
      <c s="2517"/>
      <c s="2516"/>
      <c s="2516"/>
      <c s="2516"/>
      <c s="2516"/>
      <c s="2516"/>
      <c s="2516"/>
      <c s="1178"/>
      <c s="1179"/>
      <c s="1244" t="s">
        <v>1925</v>
      </c>
      <c s="1183"/>
      <c s="1183"/>
      <c s="1185"/>
      <c s="2509"/>
      <c s="2510"/>
      <c s="2510"/>
      <c s="2509"/>
      <c s="2510"/>
      <c s="2510"/>
      <c s="1991"/>
      <c s="1826"/>
      <c s="1826"/>
      <c s="1826"/>
      <c s="1826"/>
      <c s="1826"/>
      <c s="1826"/>
      <c s="1826"/>
      <c s="1826"/>
      <c s="1826"/>
      <c s="1826"/>
      <c s="1826"/>
      <c s="1826"/>
      <c s="1826"/>
      <c s="1826"/>
      <c s="1826"/>
      <c s="1826"/>
      <c s="1826"/>
      <c s="1826"/>
      <c s="1826"/>
      <c s="1826"/>
    </row>
    <row r="105" spans="1:58" s="1638" customFormat="1" ht="11.25" customHeight="1">
      <c r="A105" s="1169"/>
      <c s="1169"/>
      <c s="1169"/>
      <c s="1163"/>
      <c s="1173"/>
      <c s="1832"/>
      <c s="1833"/>
      <c s="2518"/>
      <c s="2519"/>
      <c s="2488"/>
      <c s="2520"/>
      <c s="2110"/>
      <c s="2111"/>
      <c s="1178"/>
      <c s="1179"/>
      <c s="1171" t="s">
        <v>1928</v>
      </c>
      <c s="1179"/>
      <c s="1179"/>
      <c s="1179"/>
      <c s="1179"/>
      <c s="1179"/>
      <c s="1179"/>
      <c s="1179"/>
      <c s="1179"/>
      <c s="1179"/>
      <c s="1179"/>
      <c s="1179"/>
      <c s="1179"/>
      <c s="1179"/>
      <c s="1179"/>
      <c s="1186"/>
      <c s="2509"/>
      <c s="2510"/>
      <c s="2510"/>
      <c s="2509"/>
      <c s="2510"/>
      <c s="2510"/>
      <c s="1991"/>
      <c s="1826"/>
      <c s="1826"/>
      <c s="1826"/>
      <c s="1826"/>
      <c s="1826"/>
      <c s="1826"/>
      <c s="1826"/>
      <c s="1826"/>
      <c s="1826"/>
      <c s="1826"/>
      <c s="1826"/>
      <c s="1826"/>
      <c s="1826"/>
      <c s="1826"/>
      <c s="1826"/>
      <c s="1826"/>
      <c s="1826"/>
      <c s="1826"/>
      <c s="1826"/>
      <c s="1826"/>
    </row>
    <row r="107" spans="1:1" s="1818" customFormat="1" ht="11.25" customHeight="1">
      <c r="A107" s="1818" t="s">
        <v>1929</v>
      </c>
    </row>
    <row r="108" ht="17.25" customHeight="1" thickBot="1"/>
    <row r="109" spans="1:180" s="928" customFormat="1" ht="21" customHeight="1">
      <c r="A109" s="1170"/>
      <c s="943"/>
      <c r="D109" s="927"/>
      <c s="942" t="s">
        <v>22</v>
      </c>
      <c s="1124">
        <f>INDEX(IP_MAIN_LIST_NAME_IP,MATCH(A109,IP_MAIN_LIST_IP_ID,0))&amp;" ("&amp;INDEX(IP_MAIN_START_DATE,MATCH(A109,IP_MAIN_LIST_IP_ID,0))&amp;"-"&amp;INDEX(IP_MAIN_END_DATE,MATCH(A109,IP_MAIN_LIST_IP_ID,0))&amp;")"</f>
      </c>
      <c s="1206"/>
      <c s="1207"/>
      <c s="1207"/>
      <c s="1207"/>
      <c s="1207"/>
      <c s="1207"/>
      <c s="1207"/>
      <c s="1207"/>
      <c s="1206"/>
      <c s="1206"/>
      <c s="1206"/>
      <c s="1206"/>
      <c s="1206"/>
      <c s="1206"/>
      <c s="1208"/>
      <c s="1208"/>
      <c s="1208"/>
      <c s="1208"/>
      <c s="1208"/>
      <c s="1208"/>
      <c s="1208"/>
      <c s="1206"/>
      <c s="1207"/>
      <c s="1207"/>
      <c s="1207"/>
      <c s="1207"/>
      <c s="1207"/>
      <c s="1207"/>
      <c s="1207"/>
      <c s="1207"/>
      <c s="1207"/>
      <c s="1207"/>
      <c s="1207"/>
      <c s="1207"/>
      <c s="1207"/>
      <c s="1207"/>
      <c s="1207"/>
      <c s="1207"/>
      <c s="1207"/>
      <c s="1207"/>
      <c s="1207"/>
      <c s="1207"/>
      <c s="1207"/>
      <c s="1207"/>
      <c s="1207"/>
      <c s="1207"/>
      <c s="1207"/>
      <c s="1207"/>
      <c s="1207"/>
      <c s="1207"/>
      <c s="1207"/>
      <c s="1207"/>
      <c s="1207"/>
      <c s="1207"/>
      <c s="1207"/>
      <c s="1207"/>
      <c s="1207"/>
      <c s="1207"/>
      <c s="1207"/>
      <c s="1207"/>
      <c s="1207"/>
      <c s="1207"/>
      <c s="1207"/>
      <c s="1207"/>
      <c s="1207"/>
      <c s="1207"/>
      <c s="1207"/>
      <c s="1207"/>
      <c s="1207"/>
      <c s="1207"/>
      <c s="1207"/>
      <c s="1207"/>
      <c s="1207"/>
      <c s="1207"/>
      <c s="1207"/>
      <c s="1207"/>
      <c s="1207"/>
      <c s="1207"/>
      <c s="1207"/>
      <c s="1207"/>
      <c s="1207"/>
      <c s="1207"/>
      <c s="1207"/>
      <c s="1209"/>
      <c s="1209"/>
      <c s="1209"/>
      <c s="1209"/>
      <c s="1209"/>
      <c s="1209"/>
      <c s="1209"/>
      <c s="1209"/>
      <c s="1209"/>
      <c s="1209"/>
      <c s="1209"/>
      <c s="1209"/>
      <c s="1209"/>
      <c s="1209"/>
      <c s="1209"/>
      <c s="1209"/>
      <c s="1209"/>
      <c s="1209"/>
      <c s="1209"/>
      <c s="1209"/>
      <c s="1209"/>
      <c s="1209"/>
      <c s="1209"/>
      <c s="1209"/>
      <c s="1209"/>
      <c s="1209"/>
      <c s="1209"/>
      <c s="1209"/>
      <c s="1209"/>
      <c s="1209"/>
      <c s="1209"/>
      <c s="1209"/>
      <c s="1209"/>
      <c s="1209"/>
      <c s="1209"/>
      <c s="1209"/>
      <c s="1209"/>
      <c s="1209"/>
      <c s="1209"/>
      <c s="1209"/>
      <c s="1209"/>
      <c s="1209"/>
      <c s="1209"/>
      <c s="1209"/>
      <c s="1209"/>
      <c s="1209"/>
      <c s="1209"/>
      <c s="1209"/>
      <c s="1209"/>
      <c s="1209"/>
      <c s="1209"/>
      <c s="1209"/>
      <c s="1209"/>
      <c s="1209"/>
      <c s="1209"/>
      <c s="1209"/>
      <c s="1209"/>
      <c s="1209"/>
      <c s="1209"/>
      <c s="1209"/>
      <c s="1209"/>
      <c s="1209"/>
      <c s="1209"/>
      <c s="1209"/>
      <c s="1209"/>
      <c s="1209"/>
      <c s="1209"/>
      <c s="1209"/>
      <c s="1209"/>
      <c s="1209"/>
      <c s="1209"/>
      <c s="1209"/>
      <c s="1209"/>
      <c s="1209"/>
      <c s="1209"/>
      <c s="1209"/>
      <c s="1209"/>
      <c s="1209"/>
      <c s="1209"/>
      <c s="1209"/>
      <c s="1209"/>
      <c s="1209"/>
      <c s="1209"/>
      <c s="1209"/>
      <c s="1209"/>
      <c s="1209"/>
      <c s="1209"/>
      <c s="1209"/>
      <c s="1210"/>
      <c s="1204"/>
      <c s="1205"/>
    </row>
    <row r="110" spans="2:180" s="928" customFormat="1" ht="24.75" customHeight="1">
      <c r="B110" s="926"/>
      <c s="927"/>
      <c s="927"/>
      <c s="1838"/>
      <c s="1211">
        <v>1</v>
      </c>
      <c s="1212"/>
      <c s="1213"/>
      <c s="1985"/>
      <c s="1214"/>
      <c s="1214"/>
      <c s="1214"/>
      <c s="1214"/>
      <c s="1214"/>
      <c s="1215"/>
      <c s="1215"/>
      <c s="1215"/>
      <c s="1215"/>
      <c s="1215"/>
      <c s="1215"/>
      <c s="1215"/>
      <c s="1215"/>
      <c s="1215"/>
      <c s="1215"/>
      <c s="1215"/>
      <c s="1215"/>
      <c s="1215"/>
      <c s="1215"/>
      <c s="1214"/>
      <c s="1214"/>
      <c s="1214"/>
      <c s="1214"/>
      <c s="1214"/>
      <c s="1214"/>
      <c s="1214"/>
      <c s="1214"/>
      <c s="1214"/>
      <c s="1214"/>
      <c s="1214"/>
      <c s="1214"/>
      <c s="1214"/>
      <c s="1214"/>
      <c s="1214"/>
      <c s="1214"/>
      <c s="1214"/>
      <c s="1214"/>
      <c s="1214"/>
      <c s="1214"/>
      <c s="1214"/>
      <c s="1214"/>
      <c s="1214"/>
      <c s="1214"/>
      <c s="1214"/>
      <c s="1214"/>
      <c s="1214"/>
      <c s="1214"/>
      <c s="1214"/>
      <c s="1214"/>
      <c s="1214"/>
      <c s="1214"/>
      <c s="1214"/>
      <c s="1214"/>
      <c s="1214"/>
      <c s="1214"/>
      <c s="1214"/>
      <c s="1214"/>
      <c s="1214"/>
      <c s="1214"/>
      <c s="1214"/>
      <c s="1214"/>
      <c s="1214"/>
      <c s="1215"/>
      <c s="1215"/>
      <c s="1215"/>
      <c s="1215"/>
      <c s="1215"/>
      <c s="1215"/>
      <c s="1215"/>
      <c s="1215"/>
      <c s="1215"/>
      <c s="1215"/>
      <c s="1215"/>
      <c s="1215"/>
      <c s="1215"/>
      <c s="1215"/>
      <c s="1215"/>
      <c s="1215"/>
      <c s="1215"/>
      <c s="1215"/>
      <c s="1214"/>
      <c s="1214"/>
      <c s="1214"/>
      <c s="1214"/>
      <c s="1214"/>
      <c s="1214"/>
      <c s="1214"/>
      <c s="1214"/>
      <c s="1214"/>
      <c s="1214"/>
      <c s="1214"/>
      <c s="1214"/>
      <c s="1214"/>
      <c s="1215"/>
      <c s="1215"/>
      <c s="1215"/>
      <c s="1215"/>
      <c s="1215"/>
      <c s="1215"/>
      <c s="1215"/>
      <c s="1215"/>
      <c s="1215"/>
      <c s="1215"/>
      <c s="1215"/>
      <c s="1215"/>
      <c s="1214"/>
      <c s="1214"/>
      <c s="1214"/>
      <c s="1214"/>
      <c s="1214"/>
      <c s="1214"/>
      <c s="1214"/>
      <c s="1214"/>
      <c s="1214"/>
      <c s="1214"/>
      <c s="1214"/>
      <c s="1214"/>
      <c s="1214"/>
      <c s="1214"/>
      <c s="1214"/>
      <c s="1214"/>
      <c s="1214"/>
      <c s="1214"/>
      <c s="1214"/>
      <c s="1214"/>
      <c s="1214"/>
      <c s="1214"/>
      <c s="1214"/>
      <c s="1214"/>
      <c s="1214"/>
      <c s="1214"/>
      <c s="1214"/>
      <c s="1214"/>
      <c s="1214"/>
      <c s="1214"/>
      <c s="1214"/>
      <c s="1214"/>
      <c s="1214"/>
      <c s="1214"/>
      <c s="1214"/>
      <c s="1214"/>
      <c s="1214"/>
      <c s="1214"/>
      <c s="1214"/>
      <c s="1214"/>
      <c s="1214"/>
      <c s="1214"/>
      <c s="1214"/>
      <c s="1214"/>
      <c s="1214"/>
      <c s="1214"/>
      <c s="1214"/>
      <c s="1214"/>
      <c s="1214"/>
      <c s="1214"/>
      <c s="1214"/>
      <c s="1214"/>
      <c s="1214"/>
      <c s="1214"/>
      <c s="1214"/>
      <c s="1214"/>
      <c s="1214"/>
      <c s="1214"/>
      <c s="1214"/>
      <c s="1214"/>
      <c s="1214"/>
      <c s="1214"/>
      <c s="1214"/>
      <c s="1214"/>
      <c s="1214"/>
      <c s="1205"/>
    </row>
    <row r="111" spans="1:184" s="928" customFormat="1" ht="12" customHeight="1" thickBot="1">
      <c r="A111" s="927"/>
      <c s="926"/>
      <c s="927"/>
      <c s="927"/>
      <c s="927"/>
      <c s="1216"/>
      <c s="1803" t="s">
        <v>1930</v>
      </c>
      <c s="1217"/>
      <c s="1217"/>
      <c s="1217"/>
      <c s="1217"/>
      <c s="1217"/>
      <c s="1217"/>
      <c s="1217"/>
      <c s="1217"/>
      <c s="1217"/>
      <c s="1217"/>
      <c s="1217"/>
      <c s="1217"/>
      <c s="1217"/>
      <c s="1217"/>
      <c s="1217"/>
      <c s="1217"/>
      <c s="1217"/>
      <c s="1217"/>
      <c s="1217"/>
      <c s="1217"/>
      <c s="1217"/>
      <c s="1217"/>
      <c s="1217"/>
      <c s="1217"/>
      <c s="1217"/>
      <c s="1217"/>
      <c s="1217"/>
      <c s="1217"/>
      <c s="1217"/>
      <c s="1217"/>
      <c s="1217"/>
      <c s="1217"/>
      <c s="1217"/>
      <c s="1217"/>
      <c s="1217"/>
      <c s="1217"/>
      <c s="1217"/>
      <c s="1217"/>
      <c s="1217"/>
      <c s="1217"/>
      <c s="1217"/>
      <c s="1217"/>
      <c s="1217"/>
      <c s="1217"/>
      <c s="1217"/>
      <c s="1217"/>
      <c s="1217"/>
      <c s="1217"/>
      <c s="1217"/>
      <c s="1217"/>
      <c s="1217"/>
      <c s="1217"/>
      <c s="1217"/>
      <c s="1217"/>
      <c s="1217"/>
      <c s="1217"/>
      <c s="1217"/>
      <c s="1217"/>
      <c s="1217"/>
      <c s="1217"/>
      <c s="1217"/>
      <c s="1217"/>
      <c s="1217"/>
      <c s="1217"/>
      <c s="1217"/>
      <c s="1217"/>
      <c s="1217"/>
      <c s="1217"/>
      <c s="1217"/>
      <c s="1217"/>
      <c s="1217"/>
      <c s="1217"/>
      <c s="1217"/>
      <c s="1217"/>
      <c s="1217"/>
      <c s="1217"/>
      <c s="1217"/>
      <c s="1217"/>
      <c s="1217"/>
      <c s="1217"/>
      <c s="1217"/>
      <c s="1217"/>
      <c s="1217"/>
      <c s="1217"/>
      <c s="1217"/>
      <c s="1217"/>
      <c s="1217"/>
      <c s="1217"/>
      <c s="1217"/>
      <c s="1217"/>
      <c s="1217"/>
      <c s="1217"/>
      <c s="1217"/>
      <c s="1217"/>
      <c s="1217"/>
      <c s="1217"/>
      <c s="1217"/>
      <c s="1217"/>
      <c s="1217"/>
      <c s="1217"/>
      <c s="1217"/>
      <c s="1217"/>
      <c s="1217"/>
      <c s="1217"/>
      <c s="1217"/>
      <c s="1217"/>
      <c s="1217"/>
      <c s="1217"/>
      <c s="1217"/>
      <c s="1217"/>
      <c s="1217"/>
      <c s="1217"/>
      <c s="1217"/>
      <c s="1217"/>
      <c s="1217"/>
      <c s="1217"/>
      <c s="1217"/>
      <c s="1217"/>
      <c s="1217"/>
      <c s="1217"/>
      <c s="1217"/>
      <c s="1217"/>
      <c s="1217"/>
      <c s="1217"/>
      <c s="1217"/>
      <c s="1217"/>
      <c s="1217"/>
      <c s="1217"/>
      <c s="1217"/>
      <c s="1217"/>
      <c s="1217"/>
      <c s="1217"/>
      <c s="1217"/>
      <c s="1217"/>
      <c s="1217"/>
      <c s="1217"/>
      <c s="1217"/>
      <c s="1217"/>
      <c s="1217"/>
      <c s="1217"/>
      <c s="1217"/>
      <c s="1217"/>
      <c s="1217"/>
      <c s="1217"/>
      <c s="1217"/>
      <c s="1217"/>
      <c s="1217"/>
      <c s="1217"/>
      <c s="1217"/>
      <c s="1217"/>
      <c s="1217"/>
      <c s="1217"/>
      <c s="1217"/>
      <c s="1217"/>
      <c s="1217"/>
      <c s="1217"/>
      <c s="1217"/>
      <c s="1217"/>
      <c s="1217"/>
      <c s="1217"/>
      <c s="1217"/>
      <c s="1217"/>
      <c s="1217"/>
      <c s="1217"/>
      <c s="1217"/>
      <c s="1217"/>
      <c s="1217"/>
      <c s="1217"/>
      <c s="1217"/>
      <c s="1217"/>
      <c s="1217"/>
      <c s="1218"/>
      <c s="1219"/>
      <c s="944"/>
      <c s="944"/>
      <c s="944"/>
      <c s="944"/>
    </row>
    <row r="113" spans="1:1" s="1818" customFormat="1" ht="11.25" customHeight="1">
      <c r="A113" s="1818" t="s">
        <v>1931</v>
      </c>
    </row>
    <row r="115" spans="1:83" s="1853" customFormat="1" ht="15" customHeight="1">
      <c r="A115" s="626"/>
      <c s="627"/>
      <c s="627"/>
      <c s="2581" t="s">
        <v>109</v>
      </c>
      <c s="2380" t="s">
        <v>105</v>
      </c>
      <c s="2381"/>
      <c s="2382"/>
      <c s="2386" t="str">
        <f>IF(A115="","",INDEX(DIFFERENTIATION_UNMERGE_VD,MATCH(A115,DIFFERENTIATION_ID_DIFF,0)))</f>
        <v/>
      </c>
      <c s="2386"/>
      <c s="2386"/>
      <c s="2386"/>
      <c s="2386"/>
      <c s="2386"/>
      <c s="2386"/>
      <c s="2386"/>
      <c s="2386"/>
      <c s="2386"/>
      <c s="2386"/>
      <c s="722"/>
      <c s="719"/>
      <c s="628"/>
      <c s="628"/>
      <c s="629"/>
      <c s="629"/>
      <c s="629"/>
      <c s="629"/>
      <c s="630"/>
      <c s="631"/>
      <c s="2378"/>
      <c s="632"/>
      <c s="633" t="s">
        <v>22</v>
      </c>
      <c s="633"/>
      <c s="634" t="s">
        <v>609</v>
      </c>
      <c s="635">
        <v>3</v>
      </c>
      <c s="628"/>
      <c s="628"/>
      <c s="628"/>
      <c s="628"/>
      <c s="628"/>
      <c s="628"/>
      <c s="628"/>
      <c s="628"/>
      <c s="628"/>
      <c s="628"/>
      <c s="628"/>
      <c s="628"/>
      <c s="628"/>
      <c s="628"/>
      <c s="628"/>
      <c s="628"/>
      <c s="628"/>
      <c s="628"/>
      <c s="628"/>
      <c s="628"/>
      <c s="628"/>
      <c s="628"/>
      <c s="628"/>
      <c s="628"/>
      <c s="628"/>
      <c s="628"/>
      <c s="628"/>
      <c s="628"/>
      <c s="628"/>
      <c s="628"/>
      <c s="628"/>
      <c s="628"/>
      <c s="628"/>
      <c s="628"/>
      <c s="628"/>
      <c s="628"/>
      <c s="628"/>
      <c s="628"/>
      <c s="628"/>
      <c s="629"/>
      <c s="629"/>
      <c s="629"/>
      <c s="629"/>
      <c s="629"/>
      <c s="629"/>
      <c s="629"/>
      <c s="629"/>
      <c s="629"/>
      <c s="629"/>
    </row>
    <row r="116" spans="1:83" s="1853" customFormat="1" ht="15" customHeight="1">
      <c r="A116" s="626"/>
      <c s="627"/>
      <c s="627"/>
      <c s="2582"/>
      <c s="2380" t="s">
        <v>564</v>
      </c>
      <c s="2381"/>
      <c s="2382"/>
      <c s="2386" t="str">
        <f>IF(A115="","",INDEX(DIFFERENTIATION_UNMERGE_AREA,MATCH(A115,DIFFERENTIATION_ID_DIFF,0)))</f>
        <v/>
      </c>
      <c s="2386"/>
      <c s="2386"/>
      <c s="2386"/>
      <c s="2386"/>
      <c s="2386"/>
      <c s="2386"/>
      <c s="2386"/>
      <c s="2386"/>
      <c s="2386"/>
      <c s="2386"/>
      <c s="722"/>
      <c s="719"/>
      <c s="628"/>
      <c s="628"/>
      <c s="629"/>
      <c s="629"/>
      <c s="629"/>
      <c s="629"/>
      <c s="630"/>
      <c s="631"/>
      <c s="2378"/>
      <c s="632"/>
      <c s="633"/>
      <c s="633"/>
      <c s="634"/>
      <c s="635"/>
      <c s="628"/>
      <c s="628"/>
      <c s="628"/>
      <c s="628"/>
      <c s="628"/>
      <c s="628"/>
      <c s="628"/>
      <c s="628"/>
      <c s="628"/>
      <c s="628"/>
      <c s="628"/>
      <c s="628"/>
      <c s="628"/>
      <c s="628"/>
      <c s="628"/>
      <c s="628"/>
      <c s="628"/>
      <c s="628"/>
      <c s="628"/>
      <c s="628"/>
      <c s="628"/>
      <c s="628"/>
      <c s="628"/>
      <c s="628"/>
      <c s="628"/>
      <c s="628"/>
      <c s="628"/>
      <c s="628"/>
      <c s="628"/>
      <c s="628"/>
      <c s="628"/>
      <c s="628"/>
      <c s="628"/>
      <c s="628"/>
      <c s="628"/>
      <c s="628"/>
      <c s="628"/>
      <c s="628"/>
      <c s="628"/>
      <c s="629"/>
      <c s="629"/>
      <c s="629"/>
      <c s="629"/>
      <c s="629"/>
      <c s="629"/>
      <c s="629"/>
      <c s="629"/>
      <c s="629"/>
      <c s="629"/>
    </row>
    <row r="117" spans="1:83" s="1853" customFormat="1" ht="15" customHeight="1">
      <c r="A117" s="626"/>
      <c s="627"/>
      <c s="627"/>
      <c s="2582"/>
      <c s="2380" t="s">
        <v>565</v>
      </c>
      <c s="2381"/>
      <c s="2382"/>
      <c s="2386" t="str">
        <f>IF(A115="","",INDEX(DIFFERENTIATION_UNMERGE_SYSTEM,MATCH(A115,DIFFERENTIATION_ID_DIFF,0)))</f>
        <v/>
      </c>
      <c s="2386"/>
      <c s="2386"/>
      <c s="2386"/>
      <c s="2386"/>
      <c s="2386"/>
      <c s="2386"/>
      <c s="2386"/>
      <c s="2386"/>
      <c s="2386"/>
      <c s="2386"/>
      <c s="722"/>
      <c s="719"/>
      <c s="628"/>
      <c s="628"/>
      <c s="629"/>
      <c s="629"/>
      <c s="629"/>
      <c s="629"/>
      <c s="630"/>
      <c s="631"/>
      <c s="2378"/>
      <c s="632"/>
      <c s="633"/>
      <c s="633"/>
      <c s="634"/>
      <c s="635"/>
      <c s="628"/>
      <c s="628"/>
      <c s="628"/>
      <c s="628"/>
      <c s="628"/>
      <c s="628"/>
      <c s="628"/>
      <c s="628"/>
      <c s="628"/>
      <c s="628"/>
      <c s="628"/>
      <c s="628"/>
      <c s="628"/>
      <c s="628"/>
      <c s="628"/>
      <c s="628"/>
      <c s="628"/>
      <c s="628"/>
      <c s="628"/>
      <c s="628"/>
      <c s="628"/>
      <c s="628"/>
      <c s="628"/>
      <c s="628"/>
      <c s="628"/>
      <c s="628"/>
      <c s="628"/>
      <c s="628"/>
      <c s="628"/>
      <c s="628"/>
      <c s="628"/>
      <c s="628"/>
      <c s="628"/>
      <c s="628"/>
      <c s="628"/>
      <c s="628"/>
      <c s="628"/>
      <c s="628"/>
      <c s="628"/>
      <c s="629"/>
      <c s="629"/>
      <c s="629"/>
      <c s="629"/>
      <c s="629"/>
      <c s="629"/>
      <c s="629"/>
      <c s="629"/>
      <c s="629"/>
      <c s="629"/>
    </row>
    <row r="118" spans="1:83" s="1853" customFormat="1" ht="24.75" customHeight="1">
      <c r="A118" s="1809"/>
      <c s="1163"/>
      <c s="415"/>
      <c s="2582"/>
      <c s="2379" t="s">
        <v>610</v>
      </c>
      <c s="2379"/>
      <c s="2379"/>
      <c s="2379"/>
      <c s="2379"/>
      <c s="2379"/>
      <c s="2379"/>
      <c s="2379"/>
      <c s="2379"/>
      <c s="2379"/>
      <c s="2379"/>
      <c s="2379"/>
      <c s="561">
        <f>SUMIF(T119:T120,"i",Q119:Q120)</f>
        <v>0</v>
      </c>
      <c s="1020"/>
      <c s="1801" t="s">
        <v>611</v>
      </c>
      <c s="720" t="s">
        <v>612</v>
      </c>
      <c s="2377">
        <v>1</v>
      </c>
      <c s="2377" t="s">
        <v>575</v>
      </c>
      <c s="1163"/>
      <c s="1163"/>
      <c s="1163"/>
      <c s="1163"/>
      <c s="1639"/>
      <c s="1163"/>
      <c s="2378"/>
      <c s="632"/>
      <c s="1163"/>
      <c s="1163"/>
      <c s="1639"/>
      <c s="1639"/>
      <c s="1639"/>
      <c s="1639"/>
      <c s="1639"/>
      <c s="1639"/>
      <c s="1639"/>
      <c s="1639"/>
      <c s="1639"/>
      <c s="1639"/>
      <c s="1639"/>
      <c s="1639"/>
      <c s="1639"/>
      <c s="1639"/>
      <c s="1639"/>
      <c s="1639"/>
      <c s="1639"/>
      <c s="1639"/>
      <c s="1639"/>
      <c s="1639"/>
      <c s="1639"/>
      <c s="1639"/>
      <c s="1639"/>
      <c s="1639"/>
      <c s="1639"/>
      <c s="1639"/>
      <c s="1639"/>
      <c s="1639"/>
      <c s="1639"/>
      <c s="1639"/>
      <c s="1639"/>
      <c s="1639"/>
      <c s="1639"/>
      <c s="1639"/>
      <c s="1639"/>
      <c s="1639"/>
      <c s="1639"/>
      <c s="1639"/>
      <c s="1639"/>
      <c s="1639"/>
      <c s="1639"/>
      <c s="1163"/>
      <c s="1163"/>
      <c s="1163"/>
      <c s="1163"/>
      <c s="1163"/>
      <c s="1163"/>
      <c s="1163"/>
      <c s="1163"/>
      <c s="1163"/>
      <c s="1163"/>
    </row>
    <row r="119" spans="1:83" s="1853" customFormat="1" ht="11.25" customHeight="1" hidden="1">
      <c r="A119" s="1796"/>
      <c s="1639"/>
      <c s="1639"/>
      <c s="2582"/>
      <c s="638"/>
      <c s="638">
        <v>0</v>
      </c>
      <c s="638"/>
      <c s="638"/>
      <c s="638"/>
      <c s="638"/>
      <c s="638"/>
      <c s="638"/>
      <c s="638"/>
      <c s="638"/>
      <c s="638"/>
      <c s="638"/>
      <c s="638"/>
      <c s="638"/>
      <c s="639"/>
      <c s="721"/>
      <c s="2377"/>
      <c s="2377"/>
      <c s="1639"/>
      <c s="1639"/>
      <c s="1639"/>
      <c s="1639"/>
      <c s="1639"/>
      <c s="1163"/>
      <c s="2378"/>
      <c s="632"/>
      <c s="1163"/>
      <c s="1163"/>
      <c s="1639"/>
      <c s="1639"/>
      <c s="1639"/>
      <c s="1639"/>
      <c s="1639"/>
      <c s="1639"/>
      <c s="1639"/>
      <c s="1639"/>
      <c s="1639"/>
      <c s="1639"/>
      <c s="1639"/>
      <c s="1639"/>
      <c s="1639"/>
      <c s="1639"/>
      <c s="1639"/>
      <c s="1639"/>
      <c s="1639"/>
      <c s="1639"/>
      <c s="1639"/>
      <c s="1639"/>
      <c s="1639"/>
      <c s="1639"/>
      <c s="1639"/>
      <c s="1639"/>
      <c s="1639"/>
      <c s="1639"/>
      <c s="1639"/>
      <c s="1639"/>
      <c s="1639"/>
      <c s="1639"/>
      <c s="1639"/>
      <c s="1639"/>
      <c s="1639"/>
      <c s="1639"/>
      <c s="1639"/>
      <c s="1639"/>
      <c s="1639"/>
      <c s="1639"/>
      <c s="1639"/>
      <c s="1639"/>
      <c s="1639"/>
      <c s="1639"/>
      <c s="1639"/>
      <c s="1639"/>
      <c s="1639"/>
      <c s="1639"/>
      <c s="1639"/>
      <c s="1639"/>
      <c s="1639"/>
      <c s="1639"/>
      <c s="1639"/>
    </row>
    <row r="120" spans="1:83" s="1853" customFormat="1" ht="11.25" customHeight="1">
      <c r="A120" s="1809"/>
      <c s="1163"/>
      <c s="415"/>
      <c s="2582"/>
      <c s="652" t="s">
        <v>22</v>
      </c>
      <c s="1171" t="s">
        <v>22</v>
      </c>
      <c s="1171" t="s">
        <v>1932</v>
      </c>
      <c s="654" t="s">
        <v>22</v>
      </c>
      <c s="654"/>
      <c s="654"/>
      <c s="654"/>
      <c s="654"/>
      <c s="654"/>
      <c s="654"/>
      <c s="654"/>
      <c s="654"/>
      <c s="654"/>
      <c s="655"/>
      <c s="656"/>
      <c s="721"/>
      <c s="2377"/>
      <c s="2377"/>
      <c s="1163"/>
      <c s="1163"/>
      <c s="1163"/>
      <c s="1163"/>
      <c s="1639"/>
      <c s="1163"/>
      <c s="2378"/>
      <c s="632"/>
      <c s="1163"/>
      <c s="1163"/>
      <c s="1639"/>
      <c s="1639"/>
      <c s="1639"/>
      <c s="1639"/>
      <c s="1639"/>
      <c s="1639"/>
      <c s="1639"/>
      <c s="1639"/>
      <c s="1639"/>
      <c s="1639"/>
      <c s="1639"/>
      <c s="1639"/>
      <c s="1639"/>
      <c s="1639"/>
      <c s="1639"/>
      <c s="1639"/>
      <c s="1639"/>
      <c s="1639"/>
      <c s="1639"/>
      <c s="1639"/>
      <c s="1639"/>
      <c s="1639"/>
      <c s="1639"/>
      <c s="1639"/>
      <c s="1639"/>
      <c s="1639"/>
      <c s="1639"/>
      <c s="1639"/>
      <c s="1639"/>
      <c s="1639"/>
      <c s="1639"/>
      <c s="1639"/>
      <c s="1639"/>
      <c s="1639"/>
      <c s="1639"/>
      <c s="1639"/>
      <c s="1639"/>
      <c s="1639"/>
      <c s="1639"/>
      <c s="1639"/>
      <c s="1639"/>
      <c s="1163"/>
      <c s="1163"/>
      <c s="1163"/>
      <c s="1163"/>
      <c s="1163"/>
      <c s="1163"/>
      <c s="1163"/>
      <c s="1163"/>
      <c s="1163"/>
      <c s="1163"/>
    </row>
    <row r="121" spans="1:83" s="1853" customFormat="1" ht="24.75" customHeight="1">
      <c r="A121" s="1809"/>
      <c s="1163"/>
      <c s="415"/>
      <c s="2582"/>
      <c s="2379" t="s">
        <v>613</v>
      </c>
      <c s="2379"/>
      <c s="2379"/>
      <c s="2379"/>
      <c s="2379"/>
      <c s="2379"/>
      <c s="2379"/>
      <c s="2379"/>
      <c s="2379"/>
      <c s="2379"/>
      <c s="2379"/>
      <c s="2379"/>
      <c s="561">
        <f>SUMIF(T122:T123,"i",Q122:Q123)</f>
        <v>0</v>
      </c>
      <c s="1020"/>
      <c s="1801" t="s">
        <v>614</v>
      </c>
      <c s="720" t="s">
        <v>612</v>
      </c>
      <c s="2377">
        <v>1</v>
      </c>
      <c s="2377" t="s">
        <v>575</v>
      </c>
      <c s="1163"/>
      <c s="1163"/>
      <c s="1163"/>
      <c s="1163"/>
      <c s="1639"/>
      <c s="1163"/>
      <c s="1799"/>
      <c s="632"/>
      <c s="1163"/>
      <c s="1163"/>
      <c s="1639"/>
      <c s="1639"/>
      <c s="1639"/>
      <c s="1639"/>
      <c s="1639"/>
      <c s="1639"/>
      <c s="1639"/>
      <c s="1639"/>
      <c s="1639"/>
      <c s="1639"/>
      <c s="1639"/>
      <c s="1639"/>
      <c s="1639"/>
      <c s="1639"/>
      <c s="1639"/>
      <c s="1639"/>
      <c s="1639"/>
      <c s="1639"/>
      <c s="1639"/>
      <c s="1639"/>
      <c s="1639"/>
      <c s="1639"/>
      <c s="1639"/>
      <c s="1639"/>
      <c s="1639"/>
      <c s="1639"/>
      <c s="1639"/>
      <c s="1639"/>
      <c s="1639"/>
      <c s="1639"/>
      <c s="1639"/>
      <c s="1639"/>
      <c s="1639"/>
      <c s="1639"/>
      <c s="1639"/>
      <c s="1639"/>
      <c s="1639"/>
      <c s="1639"/>
      <c s="1639"/>
      <c s="1639"/>
      <c s="1639"/>
      <c s="1163"/>
      <c s="1163"/>
      <c s="1163"/>
      <c s="1163"/>
      <c s="1163"/>
      <c s="1163"/>
      <c s="1163"/>
      <c s="1163"/>
      <c s="1163"/>
      <c s="1163"/>
    </row>
    <row r="122" spans="1:83" s="1853" customFormat="1" ht="11.25" customHeight="1" hidden="1">
      <c r="A122" s="1796"/>
      <c s="1639"/>
      <c s="1639"/>
      <c s="2582"/>
      <c s="638"/>
      <c s="638">
        <v>0</v>
      </c>
      <c s="638"/>
      <c s="638"/>
      <c s="638"/>
      <c s="638"/>
      <c s="638"/>
      <c s="638"/>
      <c s="638"/>
      <c s="638"/>
      <c s="638"/>
      <c s="638"/>
      <c s="638"/>
      <c s="638"/>
      <c s="639"/>
      <c s="721"/>
      <c s="2377"/>
      <c s="2377"/>
      <c s="1639"/>
      <c s="1639"/>
      <c s="1639"/>
      <c s="1639"/>
      <c s="1639"/>
      <c s="1163"/>
      <c s="1799"/>
      <c s="632"/>
      <c s="1163"/>
      <c s="1163"/>
      <c s="1639"/>
      <c s="1639"/>
      <c s="1639"/>
      <c s="1639"/>
      <c s="1639"/>
      <c s="1639"/>
      <c s="1639"/>
      <c s="1639"/>
      <c s="1639"/>
      <c s="1639"/>
      <c s="1639"/>
      <c s="1639"/>
      <c s="1639"/>
      <c s="1639"/>
      <c s="1639"/>
      <c s="1639"/>
      <c s="1639"/>
      <c s="1639"/>
      <c s="1639"/>
      <c s="1639"/>
      <c s="1639"/>
      <c s="1639"/>
      <c s="1639"/>
      <c s="1639"/>
      <c s="1639"/>
      <c s="1639"/>
      <c s="1639"/>
      <c s="1639"/>
      <c s="1639"/>
      <c s="1639"/>
      <c s="1639"/>
      <c s="1639"/>
      <c s="1639"/>
      <c s="1639"/>
      <c s="1639"/>
      <c s="1639"/>
      <c s="1639"/>
      <c s="1639"/>
      <c s="1639"/>
      <c s="1639"/>
      <c s="1639"/>
      <c s="1639"/>
      <c s="1639"/>
      <c s="1639"/>
      <c s="1639"/>
      <c s="1639"/>
      <c s="1639"/>
      <c s="1639"/>
      <c s="1639"/>
      <c s="1639"/>
      <c s="1639"/>
    </row>
    <row r="123" spans="1:83" s="1853" customFormat="1" ht="11.25" customHeight="1">
      <c r="A123" s="1809"/>
      <c s="1163"/>
      <c s="415"/>
      <c s="2583"/>
      <c s="652" t="s">
        <v>22</v>
      </c>
      <c s="1171" t="s">
        <v>22</v>
      </c>
      <c s="1171" t="s">
        <v>1932</v>
      </c>
      <c s="654" t="s">
        <v>22</v>
      </c>
      <c s="654"/>
      <c s="654"/>
      <c s="654"/>
      <c s="654"/>
      <c s="654"/>
      <c s="654"/>
      <c s="654"/>
      <c s="654"/>
      <c s="654"/>
      <c s="655"/>
      <c s="656"/>
      <c s="721"/>
      <c s="2377"/>
      <c s="2377"/>
      <c s="1163"/>
      <c s="1163"/>
      <c s="1163"/>
      <c s="1163"/>
      <c s="1639"/>
      <c s="1163"/>
      <c s="1799"/>
      <c s="632"/>
      <c s="1163"/>
      <c s="1163"/>
      <c s="1639"/>
      <c s="1639"/>
      <c s="1639"/>
      <c s="1639"/>
      <c s="1639"/>
      <c s="1639"/>
      <c s="1639"/>
      <c s="1639"/>
      <c s="1639"/>
      <c s="1639"/>
      <c s="1639"/>
      <c s="1639"/>
      <c s="1639"/>
      <c s="1639"/>
      <c s="1639"/>
      <c s="1639"/>
      <c s="1639"/>
      <c s="1639"/>
      <c s="1639"/>
      <c s="1639"/>
      <c s="1639"/>
      <c s="1639"/>
      <c s="1639"/>
      <c s="1639"/>
      <c s="1639"/>
      <c s="1639"/>
      <c s="1639"/>
      <c s="1639"/>
      <c s="1639"/>
      <c s="1639"/>
      <c s="1639"/>
      <c s="1639"/>
      <c s="1639"/>
      <c s="1639"/>
      <c s="1639"/>
      <c s="1639"/>
      <c s="1639"/>
      <c s="1639"/>
      <c s="1639"/>
      <c s="1639"/>
      <c s="1639"/>
      <c s="1163"/>
      <c s="1163"/>
      <c s="1163"/>
      <c s="1163"/>
      <c s="1163"/>
      <c s="1163"/>
      <c s="1163"/>
      <c s="1163"/>
      <c s="1163"/>
      <c s="1163"/>
    </row>
    <row r="125" spans="1:1" s="1818" customFormat="1" ht="11.25" customHeight="1">
      <c r="A125" s="1818" t="s">
        <v>1933</v>
      </c>
    </row>
    <row r="127" spans="1:83" s="1853" customFormat="1" ht="15" customHeight="1">
      <c r="A127" s="626"/>
      <c s="627"/>
      <c s="627"/>
      <c s="2581" t="s">
        <v>109</v>
      </c>
      <c s="2380" t="s">
        <v>105</v>
      </c>
      <c s="2381"/>
      <c s="2382"/>
      <c s="2386" t="str">
        <f>IF(A127="","",INDEX(DIFFERENTIATION_UNMERGE_VD,MATCH(A127,DIFFERENTIATION_ID_DIFF,0)))</f>
        <v/>
      </c>
      <c s="2386"/>
      <c s="2386"/>
      <c s="2386"/>
      <c s="2386"/>
      <c s="2386"/>
      <c s="2386"/>
      <c s="2386"/>
      <c s="2386"/>
      <c s="2386"/>
      <c s="2386"/>
      <c s="722"/>
      <c s="719"/>
      <c s="628"/>
      <c s="628"/>
      <c s="629"/>
      <c s="629"/>
      <c s="629"/>
      <c s="629"/>
      <c s="630"/>
      <c s="631"/>
      <c s="2378"/>
      <c s="632"/>
      <c s="633" t="s">
        <v>22</v>
      </c>
      <c s="633"/>
      <c s="634" t="s">
        <v>609</v>
      </c>
      <c s="635">
        <v>3</v>
      </c>
      <c s="628"/>
      <c s="628"/>
      <c s="628"/>
      <c s="628"/>
      <c s="628"/>
      <c s="628"/>
      <c s="628"/>
      <c s="628"/>
      <c s="628"/>
      <c s="628"/>
      <c s="628"/>
      <c s="628"/>
      <c s="628"/>
      <c s="628"/>
      <c s="628"/>
      <c s="628"/>
      <c s="628"/>
      <c s="628"/>
      <c s="628"/>
      <c s="628"/>
      <c s="628"/>
      <c s="628"/>
      <c s="628"/>
      <c s="628"/>
      <c s="628"/>
      <c s="628"/>
      <c s="628"/>
      <c s="628"/>
      <c s="628"/>
      <c s="628"/>
      <c s="628"/>
      <c s="628"/>
      <c s="628"/>
      <c s="628"/>
      <c s="628"/>
      <c s="628"/>
      <c s="628"/>
      <c s="628"/>
      <c s="628"/>
      <c s="629"/>
      <c s="629"/>
      <c s="629"/>
      <c s="629"/>
      <c s="629"/>
      <c s="629"/>
      <c s="629"/>
      <c s="629"/>
      <c s="629"/>
      <c s="629"/>
    </row>
    <row r="128" spans="1:83" s="1853" customFormat="1" ht="15" customHeight="1">
      <c r="A128" s="626"/>
      <c s="627"/>
      <c s="627"/>
      <c s="2582"/>
      <c s="2380" t="s">
        <v>564</v>
      </c>
      <c s="2381"/>
      <c s="2382"/>
      <c s="2386" t="str">
        <f>IF(A127="","",INDEX(DIFFERENTIATION_UNMERGE_AREA,MATCH(A127,DIFFERENTIATION_ID_DIFF,0)))</f>
        <v/>
      </c>
      <c s="2386"/>
      <c s="2386"/>
      <c s="2386"/>
      <c s="2386"/>
      <c s="2386"/>
      <c s="2386"/>
      <c s="2386"/>
      <c s="2386"/>
      <c s="2386"/>
      <c s="2386"/>
      <c s="722"/>
      <c s="719"/>
      <c s="628"/>
      <c s="628"/>
      <c s="629"/>
      <c s="629"/>
      <c s="629"/>
      <c s="629"/>
      <c s="630"/>
      <c s="631"/>
      <c s="2378"/>
      <c s="632"/>
      <c s="633"/>
      <c s="633"/>
      <c s="634"/>
      <c s="635"/>
      <c s="628"/>
      <c s="628"/>
      <c s="628"/>
      <c s="628"/>
      <c s="628"/>
      <c s="628"/>
      <c s="628"/>
      <c s="628"/>
      <c s="628"/>
      <c s="628"/>
      <c s="628"/>
      <c s="628"/>
      <c s="628"/>
      <c s="628"/>
      <c s="628"/>
      <c s="628"/>
      <c s="628"/>
      <c s="628"/>
      <c s="628"/>
      <c s="628"/>
      <c s="628"/>
      <c s="628"/>
      <c s="628"/>
      <c s="628"/>
      <c s="628"/>
      <c s="628"/>
      <c s="628"/>
      <c s="628"/>
      <c s="628"/>
      <c s="628"/>
      <c s="628"/>
      <c s="628"/>
      <c s="628"/>
      <c s="628"/>
      <c s="628"/>
      <c s="628"/>
      <c s="628"/>
      <c s="628"/>
      <c s="628"/>
      <c s="629"/>
      <c s="629"/>
      <c s="629"/>
      <c s="629"/>
      <c s="629"/>
      <c s="629"/>
      <c s="629"/>
      <c s="629"/>
      <c s="629"/>
      <c s="629"/>
    </row>
    <row r="129" spans="1:83" s="1853" customFormat="1" ht="15" customHeight="1">
      <c r="A129" s="626"/>
      <c s="627"/>
      <c s="627"/>
      <c s="2582"/>
      <c s="2380" t="s">
        <v>565</v>
      </c>
      <c s="2381"/>
      <c s="2382"/>
      <c s="2386" t="str">
        <f>IF(A127="","",INDEX(DIFFERENTIATION_UNMERGE_SYSTEM,MATCH(A127,DIFFERENTIATION_ID_DIFF,0)))</f>
        <v/>
      </c>
      <c s="2386"/>
      <c s="2386"/>
      <c s="2386"/>
      <c s="2386"/>
      <c s="2386"/>
      <c s="2386"/>
      <c s="2386"/>
      <c s="2386"/>
      <c s="2386"/>
      <c s="2386"/>
      <c s="722"/>
      <c s="719"/>
      <c s="628"/>
      <c s="628"/>
      <c s="629"/>
      <c s="629"/>
      <c s="629"/>
      <c s="629"/>
      <c s="630"/>
      <c s="631"/>
      <c s="2378"/>
      <c s="632"/>
      <c s="633"/>
      <c s="633"/>
      <c s="634"/>
      <c s="635"/>
      <c s="628"/>
      <c s="628"/>
      <c s="628"/>
      <c s="628"/>
      <c s="628"/>
      <c s="628"/>
      <c s="628"/>
      <c s="628"/>
      <c s="628"/>
      <c s="628"/>
      <c s="628"/>
      <c s="628"/>
      <c s="628"/>
      <c s="628"/>
      <c s="628"/>
      <c s="628"/>
      <c s="628"/>
      <c s="628"/>
      <c s="628"/>
      <c s="628"/>
      <c s="628"/>
      <c s="628"/>
      <c s="628"/>
      <c s="628"/>
      <c s="628"/>
      <c s="628"/>
      <c s="628"/>
      <c s="628"/>
      <c s="628"/>
      <c s="628"/>
      <c s="628"/>
      <c s="628"/>
      <c s="628"/>
      <c s="628"/>
      <c s="628"/>
      <c s="628"/>
      <c s="628"/>
      <c s="628"/>
      <c s="628"/>
      <c s="629"/>
      <c s="629"/>
      <c s="629"/>
      <c s="629"/>
      <c s="629"/>
      <c s="629"/>
      <c s="629"/>
      <c s="629"/>
      <c s="629"/>
      <c s="629"/>
    </row>
    <row r="130" spans="1:83" s="1853" customFormat="1" ht="24.75" customHeight="1">
      <c r="A130" s="1809"/>
      <c s="1163"/>
      <c s="415"/>
      <c s="2582"/>
      <c s="2379" t="s">
        <v>610</v>
      </c>
      <c s="2379"/>
      <c s="2379"/>
      <c s="2379"/>
      <c s="2379"/>
      <c s="2379"/>
      <c s="2379"/>
      <c s="2379"/>
      <c s="2379"/>
      <c s="2379"/>
      <c s="2379"/>
      <c s="2379"/>
      <c s="561">
        <f>SUMIF(T131:T132,"i",Q131:Q132)</f>
        <v>0</v>
      </c>
      <c s="1020"/>
      <c s="1801" t="s">
        <v>611</v>
      </c>
      <c s="720" t="s">
        <v>612</v>
      </c>
      <c s="2377">
        <v>1</v>
      </c>
      <c s="2377" t="s">
        <v>575</v>
      </c>
      <c s="1163"/>
      <c s="1163"/>
      <c s="1163"/>
      <c s="1163"/>
      <c s="1639"/>
      <c s="1163"/>
      <c s="2378"/>
      <c s="632"/>
      <c s="1163"/>
      <c s="1163"/>
      <c s="1639"/>
      <c s="1639"/>
      <c s="1639"/>
      <c s="1639"/>
      <c s="1639"/>
      <c s="1639"/>
      <c s="1639"/>
      <c s="1639"/>
      <c s="1639"/>
      <c s="1639"/>
      <c s="1639"/>
      <c s="1639"/>
      <c s="1639"/>
      <c s="1639"/>
      <c s="1639"/>
      <c s="1639"/>
      <c s="1639"/>
      <c s="1639"/>
      <c s="1639"/>
      <c s="1639"/>
      <c s="1639"/>
      <c s="1639"/>
      <c s="1639"/>
      <c s="1639"/>
      <c s="1639"/>
      <c s="1639"/>
      <c s="1639"/>
      <c s="1639"/>
      <c s="1639"/>
      <c s="1639"/>
      <c s="1639"/>
      <c s="1639"/>
      <c s="1639"/>
      <c s="1639"/>
      <c s="1639"/>
      <c s="1639"/>
      <c s="1639"/>
      <c s="1639"/>
      <c s="1639"/>
      <c s="1639"/>
      <c s="1639"/>
      <c s="1163"/>
      <c s="1163"/>
      <c s="1163"/>
      <c s="1163"/>
      <c s="1163"/>
      <c s="1163"/>
      <c s="1163"/>
      <c s="1163"/>
      <c s="1163"/>
      <c s="1163"/>
    </row>
    <row r="131" spans="1:83" s="1853" customFormat="1" ht="11.25" customHeight="1" hidden="1">
      <c r="A131" s="1796"/>
      <c s="1639"/>
      <c s="1639"/>
      <c s="2582"/>
      <c s="638"/>
      <c s="638">
        <v>0</v>
      </c>
      <c s="638"/>
      <c s="638"/>
      <c s="638"/>
      <c s="638"/>
      <c s="638"/>
      <c s="638"/>
      <c s="638"/>
      <c s="638"/>
      <c s="638"/>
      <c s="638"/>
      <c s="638"/>
      <c s="638"/>
      <c s="639"/>
      <c s="721"/>
      <c s="2377"/>
      <c s="2377"/>
      <c s="1639"/>
      <c s="1639"/>
      <c s="1639"/>
      <c s="1639"/>
      <c s="1639"/>
      <c s="1163"/>
      <c s="2378"/>
      <c s="632"/>
      <c s="1163"/>
      <c s="1163"/>
      <c s="1639"/>
      <c s="1639"/>
      <c s="1639"/>
      <c s="1639"/>
      <c s="1639"/>
      <c s="1639"/>
      <c s="1639"/>
      <c s="1639"/>
      <c s="1639"/>
      <c s="1639"/>
      <c s="1639"/>
      <c s="1639"/>
      <c s="1639"/>
      <c s="1639"/>
      <c s="1639"/>
      <c s="1639"/>
      <c s="1639"/>
      <c s="1639"/>
      <c s="1639"/>
      <c s="1639"/>
      <c s="1639"/>
      <c s="1639"/>
      <c s="1639"/>
      <c s="1639"/>
      <c s="1639"/>
      <c s="1639"/>
      <c s="1639"/>
      <c s="1639"/>
      <c s="1639"/>
      <c s="1639"/>
      <c s="1639"/>
      <c s="1639"/>
      <c s="1639"/>
      <c s="1639"/>
      <c s="1639"/>
      <c s="1639"/>
      <c s="1639"/>
      <c s="1639"/>
      <c s="1639"/>
      <c s="1639"/>
      <c s="1639"/>
      <c s="1639"/>
      <c s="1639"/>
      <c s="1639"/>
      <c s="1639"/>
      <c s="1639"/>
      <c s="1639"/>
      <c s="1639"/>
      <c s="1639"/>
      <c s="1639"/>
      <c s="1639"/>
    </row>
    <row r="132" spans="1:83" s="1853" customFormat="1" ht="11.25" customHeight="1">
      <c r="A132" s="1809"/>
      <c s="1163"/>
      <c s="415"/>
      <c s="2582"/>
      <c s="652" t="s">
        <v>22</v>
      </c>
      <c s="1171" t="s">
        <v>22</v>
      </c>
      <c s="1171" t="s">
        <v>1932</v>
      </c>
      <c s="654" t="s">
        <v>22</v>
      </c>
      <c s="654"/>
      <c s="654"/>
      <c s="654"/>
      <c s="654"/>
      <c s="654"/>
      <c s="654"/>
      <c s="654"/>
      <c s="654"/>
      <c s="654"/>
      <c s="655"/>
      <c s="656"/>
      <c s="721"/>
      <c s="2377"/>
      <c s="2377"/>
      <c s="1163"/>
      <c s="1163"/>
      <c s="1163"/>
      <c s="1163"/>
      <c s="1639"/>
      <c s="1163"/>
      <c s="2378"/>
      <c s="632"/>
      <c s="1163"/>
      <c s="1163"/>
      <c s="1639"/>
      <c s="1639"/>
      <c s="1639"/>
      <c s="1639"/>
      <c s="1639"/>
      <c s="1639"/>
      <c s="1639"/>
      <c s="1639"/>
      <c s="1639"/>
      <c s="1639"/>
      <c s="1639"/>
      <c s="1639"/>
      <c s="1639"/>
      <c s="1639"/>
      <c s="1639"/>
      <c s="1639"/>
      <c s="1639"/>
      <c s="1639"/>
      <c s="1639"/>
      <c s="1639"/>
      <c s="1639"/>
      <c s="1639"/>
      <c s="1639"/>
      <c s="1639"/>
      <c s="1639"/>
      <c s="1639"/>
      <c s="1639"/>
      <c s="1639"/>
      <c s="1639"/>
      <c s="1639"/>
      <c s="1639"/>
      <c s="1639"/>
      <c s="1639"/>
      <c s="1639"/>
      <c s="1639"/>
      <c s="1639"/>
      <c s="1639"/>
      <c s="1639"/>
      <c s="1639"/>
      <c s="1639"/>
      <c s="1639"/>
      <c s="1163"/>
      <c s="1163"/>
      <c s="1163"/>
      <c s="1163"/>
      <c s="1163"/>
      <c s="1163"/>
      <c s="1163"/>
      <c s="1163"/>
      <c s="1163"/>
      <c s="1163"/>
    </row>
    <row r="133" spans="1:83" s="1319" customFormat="1" ht="5.25" customHeight="1" hidden="1">
      <c r="A133" s="1796"/>
      <c s="1639"/>
      <c s="1639"/>
      <c s="2582"/>
      <c s="1042"/>
      <c s="1042"/>
      <c s="1042"/>
      <c s="1042"/>
      <c s="1042"/>
      <c s="1042"/>
      <c s="1042"/>
      <c s="1042"/>
      <c s="1042"/>
      <c s="1042"/>
      <c s="1042"/>
      <c s="1042"/>
      <c s="1043"/>
      <c s="1044"/>
      <c s="1045"/>
      <c s="720" t="s">
        <v>612</v>
      </c>
      <c s="2377">
        <v>1</v>
      </c>
      <c s="2377" t="s">
        <v>575</v>
      </c>
      <c s="1639"/>
      <c s="1639"/>
      <c s="1639"/>
      <c s="1639"/>
      <c s="1639"/>
      <c s="1639"/>
      <c s="1040"/>
      <c s="1041"/>
      <c s="1639"/>
      <c s="1639"/>
      <c s="1639"/>
      <c s="1639"/>
      <c s="1639"/>
      <c s="1639"/>
      <c s="1639"/>
      <c s="1639"/>
      <c s="1639"/>
      <c s="1639"/>
      <c s="1639"/>
      <c s="1639"/>
      <c s="1639"/>
      <c s="1639"/>
      <c s="1639"/>
      <c s="1639"/>
      <c s="1639"/>
      <c s="1639"/>
      <c s="1639"/>
      <c s="1639"/>
      <c s="1639"/>
      <c s="1639"/>
      <c s="1639"/>
      <c s="1639"/>
      <c s="1639"/>
      <c s="1639"/>
      <c s="1639"/>
      <c s="1639"/>
      <c s="1639"/>
      <c s="1639"/>
      <c s="1639"/>
      <c s="1639"/>
      <c s="1639"/>
      <c s="1639"/>
      <c s="1639"/>
      <c s="1639"/>
      <c s="1639"/>
      <c s="1639"/>
      <c s="1639"/>
      <c s="1639"/>
      <c s="1639"/>
      <c s="1639"/>
      <c s="1639"/>
      <c s="1639"/>
      <c s="1639"/>
      <c s="1639"/>
      <c s="1639"/>
      <c s="1639"/>
      <c s="1639"/>
      <c s="1639"/>
      <c s="1639"/>
      <c s="1639"/>
      <c s="1639"/>
    </row>
    <row r="134" spans="1:83" s="1319" customFormat="1" ht="5.25" customHeight="1" hidden="1">
      <c r="A134" s="1796"/>
      <c s="1639"/>
      <c s="1639"/>
      <c s="2582"/>
      <c s="638"/>
      <c s="638"/>
      <c s="638"/>
      <c s="638"/>
      <c s="638"/>
      <c s="638"/>
      <c s="638"/>
      <c s="638"/>
      <c s="638"/>
      <c s="638"/>
      <c s="638"/>
      <c s="638"/>
      <c s="638"/>
      <c s="638"/>
      <c s="639"/>
      <c s="721"/>
      <c s="2377"/>
      <c s="2377"/>
      <c s="1639"/>
      <c s="1639"/>
      <c s="1639"/>
      <c s="1639"/>
      <c s="1639"/>
      <c s="1639"/>
      <c s="1040"/>
      <c s="1041"/>
      <c s="1639"/>
      <c s="1639"/>
      <c s="1639"/>
      <c s="1639"/>
      <c s="1639"/>
      <c s="1639"/>
      <c s="1639"/>
      <c s="1639"/>
      <c s="1639"/>
      <c s="1639"/>
      <c s="1639"/>
      <c s="1639"/>
      <c s="1639"/>
      <c s="1639"/>
      <c s="1639"/>
      <c s="1639"/>
      <c s="1639"/>
      <c s="1639"/>
      <c s="1639"/>
      <c s="1639"/>
      <c s="1639"/>
      <c s="1639"/>
      <c s="1639"/>
      <c s="1639"/>
      <c s="1639"/>
      <c s="1639"/>
      <c s="1639"/>
      <c s="1639"/>
      <c s="1639"/>
      <c s="1639"/>
      <c s="1639"/>
      <c s="1639"/>
      <c s="1639"/>
      <c s="1639"/>
      <c s="1639"/>
      <c s="1639"/>
      <c s="1639"/>
      <c s="1639"/>
      <c s="1639"/>
      <c s="1639"/>
      <c s="1639"/>
      <c s="1639"/>
      <c s="1639"/>
      <c s="1639"/>
      <c s="1639"/>
      <c s="1639"/>
      <c s="1639"/>
      <c s="1639"/>
      <c s="1639"/>
      <c s="1639"/>
      <c s="1639"/>
      <c s="1639"/>
      <c s="1639"/>
    </row>
    <row r="135" spans="1:83" s="1319" customFormat="1" ht="5.25" customHeight="1" hidden="1">
      <c r="A135" s="1796"/>
      <c s="1639"/>
      <c s="1639"/>
      <c s="2583"/>
      <c s="1046"/>
      <c s="1047"/>
      <c s="1047"/>
      <c s="1048"/>
      <c s="1048"/>
      <c s="1048"/>
      <c s="1048"/>
      <c s="1048"/>
      <c s="1048"/>
      <c s="1048"/>
      <c s="1048"/>
      <c s="1048"/>
      <c s="1048"/>
      <c s="949"/>
      <c s="1049"/>
      <c s="721"/>
      <c s="2377"/>
      <c s="2377"/>
      <c s="1639"/>
      <c s="1639"/>
      <c s="1639"/>
      <c s="1639"/>
      <c s="1639"/>
      <c s="1639"/>
      <c s="1040"/>
      <c s="1041"/>
      <c s="1639"/>
      <c s="1639"/>
      <c s="1639"/>
      <c s="1639"/>
      <c s="1639"/>
      <c s="1639"/>
      <c s="1639"/>
      <c s="1639"/>
      <c s="1639"/>
      <c s="1639"/>
      <c s="1639"/>
      <c s="1639"/>
      <c s="1639"/>
      <c s="1639"/>
      <c s="1639"/>
      <c s="1639"/>
      <c s="1639"/>
      <c s="1639"/>
      <c s="1639"/>
      <c s="1639"/>
      <c s="1639"/>
      <c s="1639"/>
      <c s="1639"/>
      <c s="1639"/>
      <c s="1639"/>
      <c s="1639"/>
      <c s="1639"/>
      <c s="1639"/>
      <c s="1639"/>
      <c s="1639"/>
      <c s="1639"/>
      <c s="1639"/>
      <c s="1639"/>
      <c s="1639"/>
      <c s="1639"/>
      <c s="1639"/>
      <c s="1639"/>
      <c s="1639"/>
      <c s="1639"/>
      <c s="1639"/>
      <c s="1639"/>
      <c s="1639"/>
      <c s="1639"/>
      <c s="1639"/>
      <c s="1639"/>
      <c s="1639"/>
      <c s="1639"/>
      <c s="1639"/>
      <c s="1639"/>
      <c s="1639"/>
      <c s="1639"/>
      <c s="1639"/>
      <c s="1639"/>
    </row>
    <row r="136" spans="4:4" ht="17.25" customHeight="1">
      <c r="D136" s="1839"/>
    </row>
    <row r="137" spans="1:1" s="1818" customFormat="1" ht="11.25" customHeight="1">
      <c r="A137" s="1818" t="s">
        <v>1934</v>
      </c>
    </row>
    <row r="139" spans="1:29" s="1853" customFormat="1" ht="45" customHeight="1">
      <c r="A139" s="1809"/>
      <c s="1163"/>
      <c s="415"/>
      <c s="92"/>
      <c s="2575"/>
      <c s="2111" t="s">
        <v>109</v>
      </c>
      <c s="2578" t="s">
        <v>22</v>
      </c>
      <c s="292"/>
      <c s="640" t="s">
        <v>109</v>
      </c>
      <c s="1810" t="s">
        <v>1935</v>
      </c>
      <c s="641" t="s">
        <v>546</v>
      </c>
      <c s="2227" t="s">
        <v>546</v>
      </c>
      <c s="2580"/>
      <c s="641" t="s">
        <v>546</v>
      </c>
      <c s="641" t="s">
        <v>546</v>
      </c>
      <c s="641" t="s">
        <v>546</v>
      </c>
      <c s="642">
        <f>SUM(Q140:Q142)</f>
        <v>0</v>
      </c>
      <c s="642">
        <f>IF(R136=0,0,(Q136/R136)*100)</f>
        <v>0</v>
      </c>
      <c s="2182"/>
      <c s="720" t="s">
        <v>612</v>
      </c>
      <c s="92"/>
      <c s="92"/>
      <c r="AC139" s="92"/>
    </row>
    <row r="140" spans="1:29" s="1853" customFormat="1" ht="11.25" customHeight="1">
      <c r="A140" s="1809"/>
      <c s="1163"/>
      <c s="415"/>
      <c s="92"/>
      <c s="2576"/>
      <c s="2111"/>
      <c s="2578"/>
      <c s="2130"/>
      <c s="2518" t="s">
        <v>1022</v>
      </c>
      <c s="2572"/>
      <c s="2573"/>
      <c s="643"/>
      <c s="644" t="s">
        <v>109</v>
      </c>
      <c s="1798"/>
      <c s="645"/>
      <c s="646"/>
      <c s="645"/>
      <c s="647">
        <v>0</v>
      </c>
      <c s="2182"/>
      <c s="720"/>
      <c s="92"/>
      <c s="92"/>
      <c r="AC140" s="92"/>
    </row>
    <row r="141" spans="1:29" s="1853" customFormat="1" ht="11.25" customHeight="1">
      <c r="A141" s="1809"/>
      <c s="1163"/>
      <c s="415"/>
      <c s="92"/>
      <c s="2576"/>
      <c s="2111"/>
      <c s="2578"/>
      <c s="2130"/>
      <c s="2518"/>
      <c s="2572"/>
      <c s="2574"/>
      <c s="648"/>
      <c s="649"/>
      <c s="650" t="s">
        <v>1936</v>
      </c>
      <c s="650"/>
      <c s="650"/>
      <c s="650"/>
      <c s="651"/>
      <c s="2182"/>
      <c s="720"/>
      <c s="92"/>
      <c s="92"/>
      <c r="AC141" s="92"/>
    </row>
    <row r="142" spans="1:29" s="1853" customFormat="1" ht="11.25" customHeight="1">
      <c r="A142" s="1809"/>
      <c s="1163"/>
      <c s="415"/>
      <c s="92"/>
      <c s="2577"/>
      <c s="2111"/>
      <c s="2579"/>
      <c s="648" t="s">
        <v>22</v>
      </c>
      <c s="649"/>
      <c s="650" t="s">
        <v>1937</v>
      </c>
      <c s="650"/>
      <c s="650"/>
      <c s="650"/>
      <c s="650"/>
      <c s="650"/>
      <c s="650"/>
      <c s="650"/>
      <c s="651"/>
      <c s="2182"/>
      <c s="720"/>
      <c s="92"/>
      <c s="92"/>
      <c r="AC142" s="92"/>
    </row>
    <row r="147" spans="1:29" s="1853" customFormat="1" ht="11.25" customHeight="1">
      <c r="A147" s="1809"/>
      <c s="1163"/>
      <c s="415"/>
      <c s="92"/>
      <c s="1833"/>
      <c s="1833"/>
      <c s="1833"/>
      <c s="2130"/>
      <c s="2518" t="s">
        <v>1022</v>
      </c>
      <c s="2572"/>
      <c s="2573"/>
      <c s="643"/>
      <c s="644" t="s">
        <v>109</v>
      </c>
      <c s="1798"/>
      <c s="645"/>
      <c s="646"/>
      <c s="645"/>
      <c s="647">
        <v>0</v>
      </c>
      <c s="92"/>
      <c s="720"/>
      <c s="92"/>
      <c s="92"/>
      <c r="AC147" s="92"/>
    </row>
    <row r="148" spans="1:29" s="1853" customFormat="1" ht="11.25" customHeight="1">
      <c r="A148" s="1809"/>
      <c s="1163"/>
      <c s="415"/>
      <c s="92"/>
      <c s="1833"/>
      <c s="1833"/>
      <c s="1833"/>
      <c s="2130"/>
      <c s="2518"/>
      <c s="2572"/>
      <c s="2574"/>
      <c s="648"/>
      <c s="649"/>
      <c s="650" t="s">
        <v>1936</v>
      </c>
      <c s="650"/>
      <c s="650"/>
      <c s="650"/>
      <c s="651"/>
      <c s="92"/>
      <c s="720"/>
      <c s="92"/>
      <c s="92"/>
      <c r="AC148" s="92"/>
    </row>
    <row r="150" spans="1:29" s="1853" customFormat="1" ht="11.25" customHeight="1">
      <c r="A150" s="1809"/>
      <c s="1163"/>
      <c s="415"/>
      <c s="92"/>
      <c s="1840"/>
      <c s="1838"/>
      <c s="1838"/>
      <c s="1841"/>
      <c s="1833"/>
      <c s="1834"/>
      <c s="1834"/>
      <c s="643"/>
      <c s="644" t="s">
        <v>109</v>
      </c>
      <c s="1798"/>
      <c s="645"/>
      <c s="646"/>
      <c s="645"/>
      <c s="647">
        <v>0</v>
      </c>
      <c s="92"/>
      <c s="720"/>
      <c s="92"/>
      <c s="92"/>
      <c r="AC150" s="92"/>
    </row>
    <row r="152" spans="1:1" s="1818" customFormat="1" ht="17.25" customHeight="1">
      <c r="A152" s="1818" t="s">
        <v>1938</v>
      </c>
    </row>
    <row r="153" spans="7:13" ht="17.25" customHeight="1">
      <c r="G153" s="1842"/>
      <c s="1842"/>
      <c s="1842"/>
      <c r="M153" s="1838"/>
    </row>
    <row r="154" spans="1:43" s="1856" customFormat="1" ht="17.25" customHeight="1">
      <c r="A154" s="1843"/>
      <c r="C154" s="1845"/>
      <c s="2532"/>
      <c s="2146"/>
      <c s="2148"/>
      <c s="2534"/>
      <c s="2532"/>
      <c s="2532">
        <v>1</v>
      </c>
      <c s="2504"/>
      <c s="2188" t="s">
        <v>65</v>
      </c>
      <c s="2111"/>
      <c s="2111" t="s">
        <v>109</v>
      </c>
      <c s="2507" t="str">
        <f>IF(Z154="","",INDEX(TERRITORY_MR_LIST,MATCH(Z154,TERRITORY_LIST_ID,0)))</f>
        <v/>
      </c>
      <c s="2188" t="s">
        <v>65</v>
      </c>
      <c s="2111"/>
      <c s="2111" t="s">
        <v>109</v>
      </c>
      <c s="2505" t="s">
        <v>22</v>
      </c>
      <c s="2110" t="s">
        <v>65</v>
      </c>
      <c s="1814"/>
      <c s="1814" t="s">
        <v>109</v>
      </c>
      <c s="1846" t="s">
        <v>22</v>
      </c>
      <c s="1804"/>
      <c r="Y154" s="1270"/>
      <c s="1270"/>
      <c s="1270"/>
      <c s="1270"/>
      <c s="1270"/>
      <c s="1270"/>
      <c s="1270"/>
      <c s="1270"/>
      <c s="1270"/>
      <c s="1270"/>
      <c s="1270"/>
      <c s="1270"/>
      <c s="1270"/>
      <c s="1847"/>
      <c s="1847"/>
      <c s="1270"/>
      <c s="1270"/>
      <c s="1270"/>
      <c s="1270"/>
    </row>
    <row r="155" spans="1:37" s="1856" customFormat="1" ht="17.25" customHeight="1">
      <c r="A155" s="1843"/>
      <c r="C155" s="1848"/>
      <c s="2532"/>
      <c s="2146"/>
      <c s="2149"/>
      <c s="2534"/>
      <c s="2532"/>
      <c s="2532"/>
      <c s="2504"/>
      <c s="2189"/>
      <c s="2111"/>
      <c s="2111"/>
      <c s="2507"/>
      <c s="2189"/>
      <c s="2111"/>
      <c s="2111"/>
      <c s="2505"/>
      <c s="2110"/>
      <c s="320"/>
      <c s="321"/>
      <c s="321" t="s">
        <v>414</v>
      </c>
      <c s="322"/>
      <c r="Y155" s="1262"/>
      <c s="1262"/>
      <c s="1262"/>
      <c s="1262"/>
      <c s="1262"/>
      <c s="1262"/>
      <c s="1262"/>
      <c s="1262"/>
      <c s="1262"/>
      <c s="1262"/>
      <c s="1262"/>
      <c s="1262"/>
      <c s="1262"/>
    </row>
    <row r="156" spans="1:37" s="1856" customFormat="1" ht="17.25" customHeight="1">
      <c r="A156" s="1843"/>
      <c r="C156" s="1848"/>
      <c s="2506"/>
      <c s="2533"/>
      <c s="2149"/>
      <c s="2535"/>
      <c s="2506"/>
      <c s="2506"/>
      <c s="2536"/>
      <c s="2189"/>
      <c s="2506"/>
      <c s="2506"/>
      <c s="2508"/>
      <c s="2115"/>
      <c s="320"/>
      <c s="321"/>
      <c s="321" t="s">
        <v>415</v>
      </c>
      <c s="1849"/>
      <c s="1849"/>
      <c s="1849"/>
      <c s="1849"/>
      <c s="322"/>
      <c r="Y156" s="1262"/>
      <c s="1262"/>
      <c s="1262"/>
      <c s="1262"/>
      <c s="1262"/>
      <c s="1262"/>
      <c s="1262"/>
      <c s="1262"/>
      <c s="1262"/>
      <c s="1262"/>
      <c s="1262"/>
      <c s="1262"/>
      <c s="1262"/>
    </row>
    <row r="157" spans="1:37" s="1856" customFormat="1" ht="17.25" customHeight="1">
      <c r="A157" s="1843"/>
      <c r="C157" s="1848"/>
      <c s="2506"/>
      <c s="2533"/>
      <c s="2149"/>
      <c s="2535"/>
      <c s="2506"/>
      <c s="2506"/>
      <c s="2536"/>
      <c s="2115"/>
      <c s="320"/>
      <c s="321"/>
      <c s="321" t="s">
        <v>416</v>
      </c>
      <c s="321"/>
      <c s="321"/>
      <c s="321"/>
      <c s="321"/>
      <c s="1849"/>
      <c s="1849"/>
      <c s="1849"/>
      <c s="1849"/>
      <c s="322"/>
      <c r="Y157" s="1262"/>
      <c s="1262"/>
      <c s="1262"/>
      <c s="1262"/>
      <c s="1262"/>
      <c s="1262"/>
      <c s="1262"/>
      <c s="1262"/>
      <c s="1262"/>
      <c s="1262"/>
      <c s="1262"/>
      <c s="1262"/>
      <c s="1262"/>
    </row>
    <row r="158" spans="1:37" s="1856" customFormat="1" ht="17.25" customHeight="1">
      <c r="A158" s="1843"/>
      <c r="C158" s="1848"/>
      <c s="2506"/>
      <c s="2533"/>
      <c s="2150"/>
      <c s="2535"/>
      <c s="320"/>
      <c s="321"/>
      <c s="321" t="s">
        <v>448</v>
      </c>
      <c s="321"/>
      <c s="321"/>
      <c s="321"/>
      <c s="321"/>
      <c s="321"/>
      <c s="321"/>
      <c s="321"/>
      <c s="321"/>
      <c s="1849"/>
      <c s="1849"/>
      <c s="1849"/>
      <c s="1849"/>
      <c s="322"/>
      <c r="Y158" s="1262"/>
      <c s="1262"/>
      <c s="1262"/>
      <c s="1262"/>
      <c s="1262"/>
      <c s="1262"/>
      <c s="1262"/>
      <c s="1262"/>
      <c s="1262"/>
      <c s="1262"/>
      <c s="1262"/>
      <c s="1262"/>
      <c s="1262"/>
    </row>
    <row r="159" spans="7:13" ht="17.25" customHeight="1">
      <c r="G159" s="1842"/>
      <c s="1842"/>
      <c s="1842"/>
      <c r="M159" s="1838"/>
    </row>
    <row r="160" spans="1:43" s="1856" customFormat="1" ht="17.25" customHeight="1">
      <c r="A160" s="1843"/>
      <c r="C160" s="1845"/>
      <c s="1833"/>
      <c s="1850"/>
      <c s="1787"/>
      <c s="1851"/>
      <c s="2532"/>
      <c s="2532">
        <v>1</v>
      </c>
      <c s="2504"/>
      <c s="2188" t="s">
        <v>65</v>
      </c>
      <c s="2111"/>
      <c s="2111" t="s">
        <v>109</v>
      </c>
      <c s="2507" t="str">
        <f>IF(Z160="","",INDEX(TERRITORY_MR_LIST,MATCH(Z160,TERRITORY_LIST_ID,0)))</f>
        <v/>
      </c>
      <c s="2188" t="s">
        <v>65</v>
      </c>
      <c s="2111"/>
      <c s="2111" t="s">
        <v>109</v>
      </c>
      <c s="2505" t="s">
        <v>22</v>
      </c>
      <c s="2110" t="s">
        <v>65</v>
      </c>
      <c s="1814"/>
      <c s="1814" t="s">
        <v>109</v>
      </c>
      <c s="1846" t="s">
        <v>22</v>
      </c>
      <c s="1804"/>
      <c r="Y160" s="1270"/>
      <c s="1270"/>
      <c s="1270"/>
      <c s="1270"/>
      <c s="1270"/>
      <c s="1270"/>
      <c s="1270"/>
      <c s="1270"/>
      <c s="1270"/>
      <c s="1270"/>
      <c s="1270"/>
      <c s="1270"/>
      <c s="1270"/>
      <c s="1847"/>
      <c s="1847"/>
      <c s="1270"/>
      <c s="1270"/>
      <c s="1270"/>
      <c s="1270"/>
    </row>
    <row r="161" spans="1:37" s="1856" customFormat="1" ht="17.25" customHeight="1">
      <c r="A161" s="1843"/>
      <c r="C161" s="1848"/>
      <c s="1833"/>
      <c s="1850"/>
      <c s="1787"/>
      <c s="1851"/>
      <c s="2532"/>
      <c s="2532"/>
      <c s="2504"/>
      <c s="2189"/>
      <c s="2111"/>
      <c s="2111"/>
      <c s="2507"/>
      <c s="2189"/>
      <c s="2111"/>
      <c s="2111"/>
      <c s="2505"/>
      <c s="2110"/>
      <c s="320"/>
      <c s="321"/>
      <c s="321" t="s">
        <v>414</v>
      </c>
      <c s="322"/>
      <c r="Y161" s="1262"/>
      <c s="1262"/>
      <c s="1262"/>
      <c s="1262"/>
      <c s="1262"/>
      <c s="1262"/>
      <c s="1262"/>
      <c s="1262"/>
      <c s="1262"/>
      <c s="1262"/>
      <c s="1262"/>
      <c s="1262"/>
      <c s="1262"/>
    </row>
    <row r="162" spans="1:37" s="1856" customFormat="1" ht="17.25" customHeight="1">
      <c r="A162" s="1843"/>
      <c r="C162" s="1848"/>
      <c s="1833"/>
      <c s="1850"/>
      <c s="1787"/>
      <c s="1851"/>
      <c s="2506"/>
      <c s="2506"/>
      <c s="2536"/>
      <c s="2189"/>
      <c s="2506"/>
      <c s="2506"/>
      <c s="2508"/>
      <c s="2115"/>
      <c s="320"/>
      <c s="321"/>
      <c s="321" t="s">
        <v>415</v>
      </c>
      <c s="1849"/>
      <c s="1849"/>
      <c s="1849"/>
      <c s="1849"/>
      <c s="322"/>
      <c r="Y162" s="1262"/>
      <c s="1262"/>
      <c s="1262"/>
      <c s="1262"/>
      <c s="1262"/>
      <c s="1262"/>
      <c s="1262"/>
      <c s="1262"/>
      <c s="1262"/>
      <c s="1262"/>
      <c s="1262"/>
      <c s="1262"/>
      <c s="1262"/>
    </row>
    <row r="163" spans="1:37" s="1856" customFormat="1" ht="17.25" customHeight="1">
      <c r="A163" s="1843"/>
      <c r="C163" s="1848"/>
      <c s="1833"/>
      <c s="1850"/>
      <c s="1787"/>
      <c s="1851"/>
      <c s="2506"/>
      <c s="2506"/>
      <c s="2536"/>
      <c s="2115"/>
      <c s="320"/>
      <c s="321"/>
      <c s="321" t="s">
        <v>416</v>
      </c>
      <c s="321"/>
      <c s="321"/>
      <c s="321"/>
      <c s="321"/>
      <c s="1849"/>
      <c s="1849"/>
      <c s="1849"/>
      <c s="1849"/>
      <c s="322"/>
      <c r="Y163" s="1262"/>
      <c s="1262"/>
      <c s="1262"/>
      <c s="1262"/>
      <c s="1262"/>
      <c s="1262"/>
      <c s="1262"/>
      <c s="1262"/>
      <c s="1262"/>
      <c s="1262"/>
      <c s="1262"/>
      <c s="1262"/>
      <c s="1262"/>
    </row>
    <row r="164" spans="7:13" ht="17.25" customHeight="1">
      <c r="G164" s="1842"/>
      <c s="1842"/>
      <c s="1842"/>
      <c r="M164" s="1838"/>
    </row>
    <row r="165" spans="1:43" s="1856" customFormat="1" ht="17.25" customHeight="1">
      <c r="A165" s="1843"/>
      <c r="C165" s="1845"/>
      <c s="1833"/>
      <c s="1850"/>
      <c s="1787"/>
      <c s="1851"/>
      <c s="1833"/>
      <c s="1833"/>
      <c s="1852"/>
      <c s="1763"/>
      <c s="2111"/>
      <c s="2111" t="s">
        <v>109</v>
      </c>
      <c s="2507" t="str">
        <f>IF(Z165="","",INDEX(TERRITORY_MR_LIST,MATCH(Z165,TERRITORY_LIST_ID,0)))</f>
        <v/>
      </c>
      <c s="2188" t="s">
        <v>65</v>
      </c>
      <c s="2111"/>
      <c s="2111" t="s">
        <v>109</v>
      </c>
      <c s="2505" t="s">
        <v>22</v>
      </c>
      <c s="2110" t="s">
        <v>65</v>
      </c>
      <c s="1814"/>
      <c s="1814" t="s">
        <v>109</v>
      </c>
      <c s="1846" t="s">
        <v>22</v>
      </c>
      <c s="1804"/>
      <c r="Y165" s="1270"/>
      <c s="1270"/>
      <c s="1270"/>
      <c s="1270"/>
      <c s="1270"/>
      <c s="1270"/>
      <c s="1270"/>
      <c s="1270"/>
      <c s="1270"/>
      <c s="1270"/>
      <c s="1270"/>
      <c s="1270"/>
      <c s="1270"/>
      <c s="1847"/>
      <c s="1847"/>
      <c s="1270"/>
      <c s="1270"/>
      <c s="1270"/>
      <c s="1270"/>
    </row>
    <row r="166" spans="1:37" s="1856" customFormat="1" ht="17.25" customHeight="1">
      <c r="A166" s="1843"/>
      <c r="C166" s="1848"/>
      <c s="1833"/>
      <c s="1850"/>
      <c s="1787"/>
      <c s="1851"/>
      <c s="1833"/>
      <c s="1833"/>
      <c s="1852"/>
      <c s="1763"/>
      <c s="2111"/>
      <c s="2111"/>
      <c s="2507"/>
      <c s="2189"/>
      <c s="2111"/>
      <c s="2111"/>
      <c s="2505"/>
      <c s="2110"/>
      <c s="320"/>
      <c s="321"/>
      <c s="321" t="s">
        <v>414</v>
      </c>
      <c s="322"/>
      <c r="Y166" s="1262"/>
      <c s="1262"/>
      <c s="1262"/>
      <c s="1262"/>
      <c s="1262"/>
      <c s="1262"/>
      <c s="1262"/>
      <c s="1262"/>
      <c s="1262"/>
      <c s="1262"/>
      <c s="1262"/>
      <c s="1262"/>
      <c s="1262"/>
    </row>
    <row r="167" spans="1:37" s="1856" customFormat="1" ht="17.25" customHeight="1">
      <c r="A167" s="1843"/>
      <c r="C167" s="1848"/>
      <c s="1833"/>
      <c s="1850"/>
      <c s="1787"/>
      <c s="1851"/>
      <c s="1833"/>
      <c s="1833"/>
      <c s="1852"/>
      <c s="1763"/>
      <c s="2506"/>
      <c s="2506"/>
      <c s="2508"/>
      <c s="2115"/>
      <c s="320"/>
      <c s="321"/>
      <c s="321" t="s">
        <v>415</v>
      </c>
      <c s="1849"/>
      <c s="1849"/>
      <c s="1849"/>
      <c s="1849"/>
      <c s="322"/>
      <c r="Y167" s="1262"/>
      <c s="1262"/>
      <c s="1262"/>
      <c s="1262"/>
      <c s="1262"/>
      <c s="1262"/>
      <c s="1262"/>
      <c s="1262"/>
      <c s="1262"/>
      <c s="1262"/>
      <c s="1262"/>
      <c s="1262"/>
      <c s="1262"/>
    </row>
    <row r="168" spans="7:13" ht="17.25" customHeight="1">
      <c r="G168" s="1842"/>
      <c s="1842"/>
      <c s="1842"/>
      <c r="M168" s="1838"/>
    </row>
    <row r="169" spans="1:43" s="1856" customFormat="1" ht="17.25" customHeight="1">
      <c r="A169" s="1843"/>
      <c r="C169" s="1845"/>
      <c s="1833"/>
      <c s="1850"/>
      <c s="1787"/>
      <c s="1851"/>
      <c s="1833"/>
      <c s="1833"/>
      <c s="1852"/>
      <c s="1763"/>
      <c s="1759"/>
      <c s="1759"/>
      <c s="2051"/>
      <c s="1790"/>
      <c s="2111"/>
      <c s="2111" t="s">
        <v>109</v>
      </c>
      <c s="2505" t="s">
        <v>22</v>
      </c>
      <c s="2110" t="s">
        <v>65</v>
      </c>
      <c s="1814"/>
      <c s="1814" t="s">
        <v>109</v>
      </c>
      <c s="1846" t="s">
        <v>22</v>
      </c>
      <c s="1804"/>
      <c r="Y169" s="1270"/>
      <c s="1270"/>
      <c s="1270"/>
      <c s="1270"/>
      <c s="1270"/>
      <c s="1270"/>
      <c s="1270"/>
      <c s="1270"/>
      <c s="1270"/>
      <c s="1270"/>
      <c s="1270"/>
      <c s="1270"/>
      <c s="1270"/>
      <c s="1847"/>
      <c s="1847"/>
      <c s="1270"/>
      <c s="1270"/>
      <c s="1270"/>
      <c s="1270"/>
    </row>
    <row r="170" spans="1:37" s="1856" customFormat="1" ht="17.25" customHeight="1">
      <c r="A170" s="1843"/>
      <c r="C170" s="1848"/>
      <c s="1833"/>
      <c s="1850"/>
      <c s="1787"/>
      <c s="1851"/>
      <c s="1833"/>
      <c s="1833"/>
      <c s="1852"/>
      <c s="1763"/>
      <c s="1759"/>
      <c s="1759"/>
      <c s="2051"/>
      <c s="1790"/>
      <c s="2111"/>
      <c s="2111"/>
      <c s="2505"/>
      <c s="2110"/>
      <c s="320"/>
      <c s="321"/>
      <c s="321" t="s">
        <v>414</v>
      </c>
      <c s="322"/>
      <c r="Y170" s="1262"/>
      <c s="1262"/>
      <c s="1262"/>
      <c s="1262"/>
      <c s="1262"/>
      <c s="1262"/>
      <c s="1262"/>
      <c s="1262"/>
      <c s="1262"/>
      <c s="1262"/>
      <c s="1262"/>
      <c s="1262"/>
      <c s="1262"/>
    </row>
    <row r="171" spans="7:13" ht="17.25" customHeight="1">
      <c r="G171" s="1842"/>
      <c s="1842"/>
      <c s="1842"/>
      <c r="M171" s="1838"/>
    </row>
    <row r="172" spans="1:43" s="1856" customFormat="1" ht="17.25" customHeight="1">
      <c r="A172" s="1843"/>
      <c r="C172" s="1845"/>
      <c s="1833"/>
      <c s="1850"/>
      <c s="1787"/>
      <c s="1851"/>
      <c s="1759"/>
      <c s="1759"/>
      <c s="1760"/>
      <c s="1851"/>
      <c s="1759"/>
      <c s="1759"/>
      <c s="1851"/>
      <c s="1851"/>
      <c s="1759"/>
      <c s="1759"/>
      <c s="1761"/>
      <c s="1851"/>
      <c s="1814"/>
      <c s="1814" t="s">
        <v>109</v>
      </c>
      <c s="1846" t="s">
        <v>22</v>
      </c>
      <c s="1804"/>
      <c r="Y172" s="1270"/>
      <c s="1270"/>
      <c s="1270"/>
      <c s="1270"/>
      <c s="1270"/>
      <c s="1270"/>
      <c s="1270"/>
      <c s="1270"/>
      <c s="1270"/>
      <c s="1270"/>
      <c s="1270"/>
      <c s="1270"/>
      <c s="1270"/>
      <c s="1847"/>
      <c s="1847"/>
      <c s="1270"/>
      <c s="1270"/>
      <c s="1270"/>
      <c s="1270"/>
    </row>
    <row r="174" spans="1:1" s="1818" customFormat="1" ht="17.25" customHeight="1">
      <c r="A174" s="1818" t="s">
        <v>1939</v>
      </c>
    </row>
    <row r="175" spans="7:13" ht="17.25" customHeight="1">
      <c r="G175" s="1842"/>
      <c s="1842"/>
      <c s="1842"/>
      <c r="M175" s="1838"/>
    </row>
    <row r="176" spans="1:43" s="1856" customFormat="1" ht="17.25" customHeight="1">
      <c r="A176" s="1843"/>
      <c r="C176" s="1845"/>
      <c s="2532"/>
      <c s="2146"/>
      <c s="2148"/>
      <c s="2534"/>
      <c s="2532"/>
      <c s="2532">
        <v>1</v>
      </c>
      <c s="2504"/>
      <c s="2188" t="s">
        <v>65</v>
      </c>
      <c s="2111"/>
      <c s="2111" t="s">
        <v>109</v>
      </c>
      <c s="2507" t="str">
        <f>IF(Z176="","",INDEX(TERRITORY_MR_LIST,MATCH(Z176,TERRITORY_LIST_ID,0)))</f>
        <v/>
      </c>
      <c s="2188" t="s">
        <v>65</v>
      </c>
      <c s="2111"/>
      <c s="2111" t="s">
        <v>109</v>
      </c>
      <c s="2505" t="s">
        <v>22</v>
      </c>
      <c s="2409" t="s">
        <v>19</v>
      </c>
      <c s="1805"/>
      <c s="1805" t="s">
        <v>109</v>
      </c>
      <c s="1437"/>
      <c s="2504"/>
      <c r="Y176" s="1270"/>
      <c s="1270"/>
      <c s="1270"/>
      <c s="1270"/>
      <c s="1270"/>
      <c s="1270"/>
      <c s="1270"/>
      <c s="1270"/>
      <c s="1270"/>
      <c s="1270"/>
      <c s="1270"/>
      <c s="1270"/>
      <c s="1270"/>
      <c s="1847"/>
      <c s="1847"/>
      <c s="1270"/>
      <c s="1270"/>
      <c s="1270"/>
      <c s="1270"/>
    </row>
    <row r="177" spans="1:37" s="1856" customFormat="1" ht="17.25" customHeight="1">
      <c r="A177" s="1843"/>
      <c r="C177" s="1848"/>
      <c s="2532"/>
      <c s="2146"/>
      <c s="2149"/>
      <c s="2534"/>
      <c s="2532"/>
      <c s="2532"/>
      <c s="2504"/>
      <c s="2189"/>
      <c s="2111"/>
      <c s="2111"/>
      <c s="2507"/>
      <c s="2189"/>
      <c s="2111"/>
      <c s="2111"/>
      <c s="2505"/>
      <c s="2409"/>
      <c s="1438"/>
      <c s="1439"/>
      <c s="1439"/>
      <c s="2504"/>
      <c r="Y177" s="1262"/>
      <c s="1262"/>
      <c s="1262"/>
      <c s="1262"/>
      <c s="1262"/>
      <c s="1262"/>
      <c s="1262"/>
      <c s="1262"/>
      <c s="1262"/>
      <c s="1262"/>
      <c s="1262"/>
      <c s="1262"/>
      <c s="1262"/>
    </row>
    <row r="178" spans="1:37" s="1856" customFormat="1" ht="17.25" customHeight="1">
      <c r="A178" s="1843"/>
      <c r="C178" s="1848"/>
      <c s="2506"/>
      <c s="2533"/>
      <c s="2149"/>
      <c s="2535"/>
      <c s="2506"/>
      <c s="2506"/>
      <c s="2536"/>
      <c s="2189"/>
      <c s="2506"/>
      <c s="2506"/>
      <c s="2508"/>
      <c s="2115"/>
      <c s="320"/>
      <c s="321"/>
      <c s="321" t="s">
        <v>415</v>
      </c>
      <c s="1849"/>
      <c s="1849"/>
      <c s="1849"/>
      <c s="1849"/>
      <c s="1436"/>
      <c r="Y178" s="1262"/>
      <c s="1262"/>
      <c s="1262"/>
      <c s="1262"/>
      <c s="1262"/>
      <c s="1262"/>
      <c s="1262"/>
      <c s="1262"/>
      <c s="1262"/>
      <c s="1262"/>
      <c s="1262"/>
      <c s="1262"/>
      <c s="1262"/>
    </row>
    <row r="179" spans="1:37" s="1856" customFormat="1" ht="17.25" customHeight="1">
      <c r="A179" s="1843"/>
      <c r="C179" s="1848"/>
      <c s="2506"/>
      <c s="2533"/>
      <c s="2149"/>
      <c s="2535"/>
      <c s="2506"/>
      <c s="2506"/>
      <c s="2536"/>
      <c s="2115"/>
      <c s="320"/>
      <c s="321"/>
      <c s="321" t="s">
        <v>416</v>
      </c>
      <c s="321"/>
      <c s="321"/>
      <c s="321"/>
      <c s="321"/>
      <c s="1849"/>
      <c s="1849"/>
      <c s="1849"/>
      <c s="1849"/>
      <c s="322"/>
      <c r="Y179" s="1262"/>
      <c s="1262"/>
      <c s="1262"/>
      <c s="1262"/>
      <c s="1262"/>
      <c s="1262"/>
      <c s="1262"/>
      <c s="1262"/>
      <c s="1262"/>
      <c s="1262"/>
      <c s="1262"/>
      <c s="1262"/>
      <c s="1262"/>
    </row>
    <row r="180" spans="1:37" s="1856" customFormat="1" ht="17.25" customHeight="1">
      <c r="A180" s="1843"/>
      <c r="C180" s="1848"/>
      <c s="2506"/>
      <c s="2533"/>
      <c s="2150"/>
      <c s="2535"/>
      <c s="320"/>
      <c s="321"/>
      <c s="321" t="s">
        <v>448</v>
      </c>
      <c s="321"/>
      <c s="321"/>
      <c s="321"/>
      <c s="321"/>
      <c s="321"/>
      <c s="321"/>
      <c s="321"/>
      <c s="321"/>
      <c s="1849"/>
      <c s="1849"/>
      <c s="1849"/>
      <c s="1849"/>
      <c s="322"/>
      <c r="Y180" s="1262"/>
      <c s="1262"/>
      <c s="1262"/>
      <c s="1262"/>
      <c s="1262"/>
      <c s="1262"/>
      <c s="1262"/>
      <c s="1262"/>
      <c s="1262"/>
      <c s="1262"/>
      <c s="1262"/>
      <c s="1262"/>
      <c s="1262"/>
    </row>
    <row r="181" spans="1:1" ht="17.25" customHeight="1">
      <c r="A181" s="1853"/>
    </row>
    <row r="182" spans="1:43" s="1856" customFormat="1" ht="17.25" customHeight="1">
      <c r="A182" s="1843"/>
      <c r="C182" s="1845"/>
      <c s="1833"/>
      <c s="1850"/>
      <c s="1787"/>
      <c s="1851"/>
      <c s="2532"/>
      <c s="2532">
        <v>1</v>
      </c>
      <c s="2504"/>
      <c s="2188" t="s">
        <v>65</v>
      </c>
      <c s="2111"/>
      <c s="2111" t="s">
        <v>109</v>
      </c>
      <c s="2507" t="str">
        <f>IF(Z182="","",INDEX(TERRITORY_MR_LIST,MATCH(Z182,TERRITORY_LIST_ID,0)))</f>
        <v/>
      </c>
      <c s="2188" t="s">
        <v>65</v>
      </c>
      <c s="2111"/>
      <c s="2111" t="s">
        <v>109</v>
      </c>
      <c s="2505" t="s">
        <v>22</v>
      </c>
      <c s="2409" t="s">
        <v>19</v>
      </c>
      <c s="1805"/>
      <c s="1805" t="s">
        <v>109</v>
      </c>
      <c s="1437"/>
      <c s="2504"/>
      <c r="Y182" s="1270"/>
      <c s="1270"/>
      <c s="1270"/>
      <c s="1270"/>
      <c s="1270"/>
      <c s="1270"/>
      <c s="1270"/>
      <c s="1270"/>
      <c s="1270"/>
      <c s="1270"/>
      <c s="1270"/>
      <c s="1270"/>
      <c s="1270"/>
      <c s="1847"/>
      <c s="1847"/>
      <c s="1270"/>
      <c s="1270"/>
      <c s="1270"/>
      <c s="1270"/>
    </row>
    <row r="183" spans="1:37" s="1856" customFormat="1" ht="17.25" customHeight="1">
      <c r="A183" s="1843"/>
      <c r="C183" s="1848"/>
      <c s="1833"/>
      <c s="1850"/>
      <c s="1787"/>
      <c s="1851"/>
      <c s="2532"/>
      <c s="2532"/>
      <c s="2504"/>
      <c s="2189"/>
      <c s="2111"/>
      <c s="2111"/>
      <c s="2507"/>
      <c s="2189"/>
      <c s="2111"/>
      <c s="2111"/>
      <c s="2505"/>
      <c s="2409"/>
      <c s="1438"/>
      <c s="1439"/>
      <c s="1439"/>
      <c s="2504"/>
      <c r="Y183" s="1262"/>
      <c s="1262"/>
      <c s="1262"/>
      <c s="1262"/>
      <c s="1262"/>
      <c s="1262"/>
      <c s="1262"/>
      <c s="1262"/>
      <c s="1262"/>
      <c s="1262"/>
      <c s="1262"/>
      <c s="1262"/>
      <c s="1262"/>
    </row>
    <row r="184" spans="1:37" s="1856" customFormat="1" ht="17.25" customHeight="1">
      <c r="A184" s="1843"/>
      <c r="C184" s="1848"/>
      <c s="1833"/>
      <c s="1850"/>
      <c s="1787"/>
      <c s="1851"/>
      <c s="2506"/>
      <c s="2506"/>
      <c s="2536"/>
      <c s="2189"/>
      <c s="2506"/>
      <c s="2506"/>
      <c s="2508"/>
      <c s="2115"/>
      <c s="320"/>
      <c s="321"/>
      <c s="321" t="s">
        <v>415</v>
      </c>
      <c s="1849"/>
      <c s="1849"/>
      <c s="1849"/>
      <c s="1849"/>
      <c s="1436"/>
      <c r="Y184" s="1262"/>
      <c s="1262"/>
      <c s="1262"/>
      <c s="1262"/>
      <c s="1262"/>
      <c s="1262"/>
      <c s="1262"/>
      <c s="1262"/>
      <c s="1262"/>
      <c s="1262"/>
      <c s="1262"/>
      <c s="1262"/>
      <c s="1262"/>
    </row>
    <row r="185" spans="1:37" s="1856" customFormat="1" ht="17.25" customHeight="1">
      <c r="A185" s="1843"/>
      <c r="C185" s="1848"/>
      <c s="1833"/>
      <c s="1850"/>
      <c s="1787"/>
      <c s="1851"/>
      <c s="2506"/>
      <c s="2506"/>
      <c s="2536"/>
      <c s="2115"/>
      <c s="320"/>
      <c s="321"/>
      <c s="321" t="s">
        <v>416</v>
      </c>
      <c s="321"/>
      <c s="321"/>
      <c s="321"/>
      <c s="321"/>
      <c s="1849"/>
      <c s="1849"/>
      <c s="1849"/>
      <c s="1849"/>
      <c s="322"/>
      <c r="Y185" s="1262"/>
      <c s="1262"/>
      <c s="1262"/>
      <c s="1262"/>
      <c s="1262"/>
      <c s="1262"/>
      <c s="1262"/>
      <c s="1262"/>
      <c s="1262"/>
      <c s="1262"/>
      <c s="1262"/>
      <c s="1262"/>
      <c s="1262"/>
    </row>
    <row r="186" spans="1:1" ht="17.25" customHeight="1">
      <c r="A186" s="1853"/>
    </row>
    <row r="187" spans="1:43" s="1856" customFormat="1" ht="17.25" customHeight="1">
      <c r="A187" s="1843"/>
      <c r="C187" s="1845"/>
      <c s="1833"/>
      <c s="1850"/>
      <c s="1787"/>
      <c s="1851"/>
      <c s="1833"/>
      <c s="1833"/>
      <c s="1854"/>
      <c s="1851"/>
      <c s="2111"/>
      <c s="2111" t="s">
        <v>109</v>
      </c>
      <c s="2507" t="str">
        <f>IF(Z187="","",INDEX(TERRITORY_MR_LIST,MATCH(Z187,TERRITORY_LIST_ID,0)))</f>
        <v/>
      </c>
      <c s="2188" t="s">
        <v>65</v>
      </c>
      <c s="2111"/>
      <c s="2111" t="s">
        <v>109</v>
      </c>
      <c s="2505" t="s">
        <v>22</v>
      </c>
      <c s="2409" t="s">
        <v>19</v>
      </c>
      <c s="1805"/>
      <c s="1805" t="s">
        <v>109</v>
      </c>
      <c s="1437"/>
      <c s="2504"/>
      <c r="Y187" s="1270"/>
      <c s="1270"/>
      <c s="1270"/>
      <c s="1270"/>
      <c s="1270"/>
      <c s="1270"/>
      <c s="1270"/>
      <c s="1270"/>
      <c s="1270"/>
      <c s="1270"/>
      <c s="1270"/>
      <c s="1270"/>
      <c s="1270"/>
      <c s="1847"/>
      <c s="1847"/>
      <c s="1270"/>
      <c s="1270"/>
      <c s="1270"/>
      <c s="1270"/>
    </row>
    <row r="188" spans="1:37" s="1856" customFormat="1" ht="17.25" customHeight="1">
      <c r="A188" s="1843"/>
      <c r="C188" s="1848"/>
      <c s="1833"/>
      <c s="1850"/>
      <c s="1787"/>
      <c s="1851"/>
      <c s="1833"/>
      <c s="1833"/>
      <c s="1854"/>
      <c s="1851"/>
      <c s="2111"/>
      <c s="2111"/>
      <c s="2507"/>
      <c s="2189"/>
      <c s="2111"/>
      <c s="2111"/>
      <c s="2505"/>
      <c s="2409"/>
      <c s="1438"/>
      <c s="1439"/>
      <c s="1439"/>
      <c s="2504"/>
      <c r="Y188" s="1262"/>
      <c s="1262"/>
      <c s="1262"/>
      <c s="1262"/>
      <c s="1262"/>
      <c s="1262"/>
      <c s="1262"/>
      <c s="1262"/>
      <c s="1262"/>
      <c s="1262"/>
      <c s="1262"/>
      <c s="1262"/>
      <c s="1262"/>
    </row>
    <row r="189" spans="1:37" s="1856" customFormat="1" ht="17.25" customHeight="1">
      <c r="A189" s="1843"/>
      <c r="C189" s="1848"/>
      <c s="1833"/>
      <c s="1850"/>
      <c s="1787"/>
      <c s="1851"/>
      <c s="1833"/>
      <c s="1833"/>
      <c s="1854"/>
      <c s="1851"/>
      <c s="2506"/>
      <c s="2506"/>
      <c s="2508"/>
      <c s="2115"/>
      <c s="320"/>
      <c s="321"/>
      <c s="321" t="s">
        <v>415</v>
      </c>
      <c s="1849"/>
      <c s="1849"/>
      <c s="1849"/>
      <c s="1849"/>
      <c s="1436"/>
      <c r="Y189" s="1262"/>
      <c s="1262"/>
      <c s="1262"/>
      <c s="1262"/>
      <c s="1262"/>
      <c s="1262"/>
      <c s="1262"/>
      <c s="1262"/>
      <c s="1262"/>
      <c s="1262"/>
      <c s="1262"/>
      <c s="1262"/>
      <c s="1262"/>
    </row>
    <row r="190" spans="1:1" ht="17.25" customHeight="1">
      <c r="A190" s="1853"/>
    </row>
    <row r="191" spans="1:43" s="1856" customFormat="1" ht="17.25" customHeight="1">
      <c r="A191" s="1843"/>
      <c r="C191" s="1845"/>
      <c s="1833"/>
      <c s="1850"/>
      <c s="1787"/>
      <c s="1851"/>
      <c s="1833"/>
      <c s="1833"/>
      <c s="1854"/>
      <c s="1851"/>
      <c s="1833"/>
      <c s="1833"/>
      <c s="2051"/>
      <c s="1790"/>
      <c s="2111"/>
      <c s="2111" t="s">
        <v>109</v>
      </c>
      <c s="2505" t="s">
        <v>22</v>
      </c>
      <c s="2409" t="s">
        <v>19</v>
      </c>
      <c s="1805"/>
      <c s="1805" t="s">
        <v>109</v>
      </c>
      <c s="1437"/>
      <c s="2504"/>
      <c r="Y191" s="1270"/>
      <c s="1270"/>
      <c s="1270"/>
      <c s="1270"/>
      <c s="1270"/>
      <c s="1270"/>
      <c s="1270"/>
      <c s="1270"/>
      <c s="1270"/>
      <c s="1270"/>
      <c s="1270"/>
      <c s="1270"/>
      <c s="1270"/>
      <c s="1847"/>
      <c s="1847"/>
      <c s="1270"/>
      <c s="1270"/>
      <c s="1270"/>
      <c s="1270"/>
    </row>
    <row r="192" spans="1:37" s="1856" customFormat="1" ht="17.25" customHeight="1">
      <c r="A192" s="1843"/>
      <c r="C192" s="1848"/>
      <c s="1833"/>
      <c s="1850"/>
      <c s="1787"/>
      <c s="1851"/>
      <c s="1833"/>
      <c s="1833"/>
      <c s="1854"/>
      <c s="1851"/>
      <c s="1833"/>
      <c s="1833"/>
      <c s="2051"/>
      <c s="1790"/>
      <c s="2111"/>
      <c s="2111"/>
      <c s="2505"/>
      <c s="2409"/>
      <c s="1438"/>
      <c s="1439"/>
      <c s="1439"/>
      <c s="2504"/>
      <c r="Y192" s="1262"/>
      <c s="1262"/>
      <c s="1262"/>
      <c s="1262"/>
      <c s="1262"/>
      <c s="1262"/>
      <c s="1262"/>
      <c s="1262"/>
      <c s="1262"/>
      <c s="1262"/>
      <c s="1262"/>
      <c s="1262"/>
      <c s="1262"/>
    </row>
    <row r="193" spans="1:1" ht="17.25" customHeight="1">
      <c r="A193" s="1853"/>
    </row>
    <row r="194" spans="1:23" ht="16.5" customHeight="1">
      <c r="A194" s="1843"/>
      <c s="1844"/>
      <c s="1848"/>
      <c s="2556"/>
      <c s="2182"/>
      <c s="2182"/>
      <c s="2130"/>
      <c s="2557"/>
      <c s="2570"/>
      <c s="2155"/>
      <c s="2140"/>
      <c s="2140"/>
      <c s="2140"/>
      <c s="2568"/>
      <c s="2140"/>
      <c s="2140"/>
      <c s="2140"/>
      <c s="2566"/>
      <c s="2140"/>
      <c s="1786"/>
      <c s="1786"/>
      <c s="1855"/>
      <c s="1299"/>
    </row>
    <row r="195" spans="1:23" ht="16.5" customHeight="1">
      <c r="A195" s="1843"/>
      <c s="1844"/>
      <c s="1848"/>
      <c s="2556"/>
      <c s="2182"/>
      <c s="2182"/>
      <c s="2130"/>
      <c s="2558"/>
      <c s="2571"/>
      <c s="2156"/>
      <c s="2141"/>
      <c s="2141"/>
      <c s="2141"/>
      <c s="2569"/>
      <c s="2141"/>
      <c s="2141"/>
      <c s="2141"/>
      <c s="2567"/>
      <c s="2141"/>
      <c s="1300"/>
      <c s="1300"/>
      <c s="1300"/>
      <c s="1301"/>
    </row>
    <row r="196" spans="1:23" ht="17.25" customHeight="1">
      <c r="A196" s="1843"/>
      <c s="1844"/>
      <c s="1848"/>
      <c s="2556"/>
      <c s="2182"/>
      <c s="2182"/>
      <c s="2130"/>
      <c s="2558"/>
      <c s="2571"/>
      <c s="2559"/>
      <c s="2141"/>
      <c s="2141"/>
      <c s="2141"/>
      <c s="2567"/>
      <c s="2141"/>
      <c s="1789"/>
      <c s="1300"/>
      <c s="1300"/>
      <c s="1856"/>
      <c s="1856"/>
      <c s="1856"/>
      <c s="1856"/>
      <c s="1301"/>
    </row>
    <row r="197" spans="1:23" ht="17.25" customHeight="1">
      <c r="A197" s="1843"/>
      <c s="1844"/>
      <c s="1848"/>
      <c s="2556"/>
      <c s="2182"/>
      <c s="2182"/>
      <c s="2130"/>
      <c s="2558"/>
      <c s="2571"/>
      <c s="2559"/>
      <c s="2141"/>
      <c s="1300"/>
      <c s="1300"/>
      <c s="1300"/>
      <c s="1300"/>
      <c s="1300"/>
      <c s="1300"/>
      <c s="1300"/>
      <c s="1856"/>
      <c s="1856"/>
      <c s="1856"/>
      <c s="1856"/>
      <c s="1301"/>
    </row>
    <row r="198" spans="1:23" ht="17.25" customHeight="1">
      <c r="A198" s="1843"/>
      <c s="1844"/>
      <c s="1848"/>
      <c s="2556"/>
      <c s="2182"/>
      <c s="2182"/>
      <c s="2130"/>
      <c s="1302"/>
      <c s="1303"/>
      <c s="1303"/>
      <c s="1303"/>
      <c s="1303"/>
      <c s="1303"/>
      <c s="1303"/>
      <c s="1303"/>
      <c s="1303"/>
      <c s="1303"/>
      <c s="1303"/>
      <c s="1857"/>
      <c s="1857"/>
      <c s="1857"/>
      <c s="1857"/>
      <c s="1305"/>
    </row>
    <row r="200" spans="1:1" s="1818" customFormat="1" ht="17.25" customHeight="1">
      <c r="A200" s="1818" t="s">
        <v>1940</v>
      </c>
    </row>
    <row r="201" spans="7:13" ht="17.25" customHeight="1">
      <c r="G201" s="1842"/>
      <c s="1842"/>
      <c s="1842"/>
      <c r="M201" s="1838"/>
    </row>
    <row r="202" spans="4:35" s="1853" customFormat="1" ht="15" customHeight="1">
      <c r="D202" s="2526"/>
      <c s="2202"/>
      <c s="2202"/>
      <c s="2188"/>
      <c s="1567"/>
      <c s="2530">
        <v>1</v>
      </c>
      <c s="2504"/>
      <c s="1582"/>
      <c s="2188" t="s">
        <v>65</v>
      </c>
      <c s="2188" t="s">
        <v>65</v>
      </c>
      <c s="1567"/>
      <c s="2111" t="s">
        <v>109</v>
      </c>
      <c s="2520"/>
      <c s="1583"/>
      <c s="2188" t="s">
        <v>65</v>
      </c>
      <c s="2188" t="s">
        <v>65</v>
      </c>
      <c s="1858"/>
      <c s="2111" t="s">
        <v>109</v>
      </c>
      <c s="2527" t="str">
        <f>IF(AK202="","",INDEX(TERRITORY_MR_LIST,MATCH(AK202,TERRITORY_LIST_ID,0)))</f>
        <v/>
      </c>
      <c s="1584"/>
      <c s="2188" t="s">
        <v>65</v>
      </c>
      <c s="2188" t="s">
        <v>19</v>
      </c>
      <c s="1567"/>
      <c s="2111" t="s">
        <v>109</v>
      </c>
      <c s="2529"/>
      <c s="1585"/>
      <c s="2188" t="s">
        <v>65</v>
      </c>
      <c s="2188" t="s">
        <v>19</v>
      </c>
      <c s="1565"/>
      <c s="1814" t="s">
        <v>109</v>
      </c>
      <c s="1575"/>
      <c s="1804"/>
    </row>
    <row r="203" spans="4:35" s="1853" customFormat="1" ht="15" customHeight="1">
      <c r="D203" s="2526"/>
      <c s="2202"/>
      <c s="2202"/>
      <c s="2189"/>
      <c s="1567"/>
      <c s="2530"/>
      <c s="2504"/>
      <c s="1566"/>
      <c s="2189"/>
      <c s="2189"/>
      <c s="1567"/>
      <c s="2111"/>
      <c s="2520"/>
      <c s="1563"/>
      <c s="2189"/>
      <c s="2189"/>
      <c s="1858"/>
      <c s="2111"/>
      <c s="2528"/>
      <c s="1564"/>
      <c s="2189"/>
      <c s="2189"/>
      <c s="1567"/>
      <c s="2111"/>
      <c s="2498"/>
      <c s="1568"/>
      <c s="2115"/>
      <c s="2115"/>
      <c s="1569"/>
      <c s="1570"/>
      <c s="2521" t="s">
        <v>1941</v>
      </c>
      <c s="2522"/>
    </row>
    <row r="204" spans="4:35" s="1853" customFormat="1" ht="15" customHeight="1">
      <c r="D204" s="2526"/>
      <c s="2202"/>
      <c s="2202"/>
      <c s="2189"/>
      <c s="1567"/>
      <c s="2530"/>
      <c s="2504"/>
      <c s="1566"/>
      <c s="2189"/>
      <c s="2189"/>
      <c s="1567"/>
      <c s="2111"/>
      <c s="2520"/>
      <c s="1563"/>
      <c s="2189"/>
      <c s="2189"/>
      <c s="1858"/>
      <c s="2111"/>
      <c s="2528"/>
      <c s="1564"/>
      <c s="2189"/>
      <c s="2189"/>
      <c s="1606"/>
      <c s="1572"/>
      <c s="2523" t="s">
        <v>1942</v>
      </c>
      <c s="2523"/>
      <c s="2523"/>
      <c s="2523"/>
      <c s="2523"/>
      <c s="2523"/>
      <c s="2523"/>
      <c s="2524"/>
    </row>
    <row r="205" spans="4:35" s="1853" customFormat="1" ht="15" customHeight="1">
      <c r="D205" s="2526"/>
      <c s="2202"/>
      <c s="2202"/>
      <c s="2189"/>
      <c s="1567"/>
      <c s="2530"/>
      <c s="2504"/>
      <c s="1566"/>
      <c s="2189"/>
      <c s="2189"/>
      <c s="1567"/>
      <c s="2111"/>
      <c s="2525"/>
      <c s="1563"/>
      <c s="2189"/>
      <c s="2189"/>
      <c s="1859"/>
      <c s="1607"/>
      <c s="2521" t="s">
        <v>103</v>
      </c>
      <c s="2521"/>
      <c s="2521"/>
      <c s="2521"/>
      <c s="2521"/>
      <c s="2521"/>
      <c s="2521"/>
      <c s="2521"/>
      <c s="2521"/>
      <c s="2521"/>
      <c s="2521"/>
      <c s="2521"/>
      <c s="2521"/>
      <c s="2522"/>
    </row>
    <row r="206" spans="4:35" s="1853" customFormat="1" ht="11.25" customHeight="1">
      <c r="D206" s="2526"/>
      <c s="2202"/>
      <c s="2202"/>
      <c s="2189"/>
      <c s="1571"/>
      <c s="2530"/>
      <c s="2531"/>
      <c s="1566"/>
      <c s="2189"/>
      <c s="2189"/>
      <c s="1571"/>
      <c s="1572"/>
      <c s="2521" t="s">
        <v>1943</v>
      </c>
      <c s="2521"/>
      <c s="2521"/>
      <c s="2521"/>
      <c s="2521"/>
      <c s="2521"/>
      <c s="2521"/>
      <c s="2521"/>
      <c s="2521"/>
      <c s="2521"/>
      <c s="2521"/>
      <c s="2521"/>
      <c s="2521"/>
      <c s="2521"/>
      <c s="2521"/>
      <c s="2521"/>
      <c s="2521"/>
      <c s="2521"/>
      <c s="2521"/>
      <c s="2522"/>
    </row>
    <row r="207" spans="4:63" s="1557" customFormat="1" ht="11.25" customHeight="1">
      <c r="D207" s="2526"/>
      <c s="2202"/>
      <c s="2202"/>
      <c s="2115"/>
      <c s="1573"/>
      <c s="1574"/>
      <c s="2521" t="s">
        <v>448</v>
      </c>
      <c s="2521"/>
      <c s="2521"/>
      <c s="2521"/>
      <c s="2521"/>
      <c s="2521"/>
      <c s="2521"/>
      <c s="2521"/>
      <c s="2521"/>
      <c s="2521"/>
      <c s="2521"/>
      <c s="2521"/>
      <c s="2521"/>
      <c s="2521"/>
      <c s="2521"/>
      <c s="2521"/>
      <c s="2521"/>
      <c s="2521"/>
      <c s="2521"/>
      <c s="2521"/>
      <c s="2521"/>
      <c s="2521"/>
      <c s="2521"/>
      <c s="2521"/>
      <c s="2521"/>
      <c s="2522"/>
      <c r="BK207" s="1577"/>
    </row>
    <row r="208" spans="7:14" ht="17.25" customHeight="1">
      <c r="G208" s="1842"/>
      <c r="I208" s="1842"/>
      <c s="1842"/>
      <c r="N208" s="1838"/>
    </row>
    <row r="209" spans="4:35" s="1853" customFormat="1" ht="15" customHeight="1">
      <c r="D209" s="2526"/>
      <c s="2202"/>
      <c s="2202"/>
      <c s="2182"/>
      <c s="1602"/>
      <c s="2184"/>
      <c s="2155"/>
      <c s="1788"/>
      <c s="2140"/>
      <c s="2140"/>
      <c s="1587"/>
      <c s="2140"/>
      <c s="2155"/>
      <c s="1792"/>
      <c s="2140"/>
      <c s="2140"/>
      <c s="1860"/>
      <c s="2140"/>
      <c s="2155"/>
      <c s="1590"/>
      <c s="2140"/>
      <c s="2140"/>
      <c s="1587"/>
      <c s="2140"/>
      <c s="2155"/>
      <c s="1591"/>
      <c s="2140"/>
      <c s="2140"/>
      <c s="1786"/>
      <c s="1786"/>
      <c s="1592"/>
      <c s="1299"/>
    </row>
    <row r="210" spans="4:35" s="1853" customFormat="1" ht="15" customHeight="1">
      <c r="D210" s="2526"/>
      <c s="2202"/>
      <c s="2202"/>
      <c s="2182"/>
      <c s="1603"/>
      <c s="2185"/>
      <c s="2156"/>
      <c s="1613"/>
      <c s="2141"/>
      <c s="2141"/>
      <c s="1593"/>
      <c s="2141"/>
      <c s="2156"/>
      <c s="1793"/>
      <c s="2141"/>
      <c s="2141"/>
      <c s="1861"/>
      <c s="2141"/>
      <c s="2156"/>
      <c s="1596"/>
      <c s="2141"/>
      <c s="2141"/>
      <c s="1593"/>
      <c s="2141"/>
      <c s="2156"/>
      <c s="1597"/>
      <c s="2141"/>
      <c s="2141"/>
      <c s="1791"/>
      <c s="1791"/>
      <c s="2180"/>
      <c s="2181"/>
    </row>
    <row r="211" spans="4:35" s="1853" customFormat="1" ht="15" customHeight="1">
      <c r="D211" s="2526"/>
      <c s="2202"/>
      <c s="2202"/>
      <c s="2182"/>
      <c s="1603"/>
      <c s="2185"/>
      <c s="2156"/>
      <c s="1613"/>
      <c s="2141"/>
      <c s="2141"/>
      <c s="1593"/>
      <c s="2141"/>
      <c s="2156"/>
      <c s="1793"/>
      <c s="2141"/>
      <c s="2141"/>
      <c s="1861"/>
      <c s="2141"/>
      <c s="2156"/>
      <c s="1596"/>
      <c s="2141"/>
      <c s="2141"/>
      <c s="1789"/>
      <c s="1791"/>
      <c s="2180"/>
      <c s="2180"/>
      <c s="2180"/>
      <c s="2180"/>
      <c s="2180"/>
      <c s="2180"/>
      <c s="2180"/>
      <c s="2181"/>
    </row>
    <row r="212" spans="4:35" s="1853" customFormat="1" ht="15" customHeight="1">
      <c r="D212" s="2526"/>
      <c s="2202"/>
      <c s="2202"/>
      <c s="2182"/>
      <c s="1603"/>
      <c s="2185"/>
      <c s="2156"/>
      <c s="1613"/>
      <c s="2141"/>
      <c s="2141"/>
      <c s="1593"/>
      <c s="2141"/>
      <c s="2156"/>
      <c s="1793"/>
      <c s="2141"/>
      <c s="2141"/>
      <c s="1862"/>
      <c s="1600"/>
      <c s="2180"/>
      <c s="2180"/>
      <c s="2180"/>
      <c s="2180"/>
      <c s="2180"/>
      <c s="2180"/>
      <c s="2180"/>
      <c s="2180"/>
      <c s="2180"/>
      <c s="2180"/>
      <c s="2180"/>
      <c s="2180"/>
      <c s="2180"/>
      <c s="2181"/>
    </row>
    <row r="213" spans="4:35" s="1853" customFormat="1" ht="11.25" customHeight="1">
      <c r="D213" s="2526"/>
      <c s="2202"/>
      <c s="2202"/>
      <c s="2182"/>
      <c s="1604"/>
      <c s="2185"/>
      <c s="2156"/>
      <c s="1613"/>
      <c s="2141"/>
      <c s="2141"/>
      <c s="1791"/>
      <c s="1791"/>
      <c s="2180"/>
      <c s="2180"/>
      <c s="2180"/>
      <c s="2180"/>
      <c s="2180"/>
      <c s="2180"/>
      <c s="2180"/>
      <c s="2180"/>
      <c s="2180"/>
      <c s="2180"/>
      <c s="2180"/>
      <c s="2180"/>
      <c s="2180"/>
      <c s="2180"/>
      <c s="2180"/>
      <c s="2180"/>
      <c s="2180"/>
      <c s="2180"/>
      <c s="2180"/>
      <c s="2181"/>
    </row>
    <row r="214" spans="4:63" s="1557" customFormat="1" ht="11.25" customHeight="1">
      <c r="D214" s="2526"/>
      <c s="2202"/>
      <c s="2202"/>
      <c s="2187"/>
      <c s="1601"/>
      <c s="1605"/>
      <c s="2190"/>
      <c s="2190"/>
      <c s="2190"/>
      <c s="2190"/>
      <c s="2190"/>
      <c s="2190"/>
      <c s="2190"/>
      <c s="2190"/>
      <c s="2190"/>
      <c s="2190"/>
      <c s="2190"/>
      <c s="2190"/>
      <c s="2190"/>
      <c s="2190"/>
      <c s="2190"/>
      <c s="2190"/>
      <c s="2190"/>
      <c s="2190"/>
      <c s="2190"/>
      <c s="2190"/>
      <c s="2190"/>
      <c s="2190"/>
      <c s="2190"/>
      <c s="2190"/>
      <c s="2190"/>
      <c s="2191"/>
      <c r="BK214" s="1577"/>
    </row>
    <row r="215" spans="1:1" ht="17.25" customHeight="1">
      <c r="A215" s="1853"/>
    </row>
  </sheetData>
  <sheetProtection formatColumns="0" formatRows="0" insertRows="0" deleteColumns="0" deleteRows="0" sort="0" autoFilter="0"/>
  <mergeCells count="287">
    <mergeCell ref="A47:A51"/>
    <mergeCell ref="C47:C51"/>
    <mergeCell ref="F72:F73"/>
    <mergeCell ref="G72:G73"/>
    <mergeCell ref="H72:H73"/>
    <mergeCell ref="I72:I73"/>
    <mergeCell ref="J72:J73"/>
    <mergeCell ref="K72:K73"/>
    <mergeCell ref="U121:U123"/>
    <mergeCell ref="P83:P85"/>
    <mergeCell ref="Q83:Q85"/>
    <mergeCell ref="R83:R85"/>
    <mergeCell ref="N91:N93"/>
    <mergeCell ref="O91:O93"/>
    <mergeCell ref="P91:P93"/>
    <mergeCell ref="Q91:Q93"/>
    <mergeCell ref="R91:R93"/>
    <mergeCell ref="S91:S93"/>
    <mergeCell ref="T91:T93"/>
    <mergeCell ref="U91:U93"/>
    <mergeCell ref="V121:V123"/>
    <mergeCell ref="D154:D158"/>
    <mergeCell ref="L72:L73"/>
    <mergeCell ref="G82:G86"/>
    <mergeCell ref="U133:U135"/>
    <mergeCell ref="V133:V135"/>
    <mergeCell ref="O154:O156"/>
    <mergeCell ref="S154:S155"/>
    <mergeCell ref="U72:U73"/>
    <mergeCell ref="V72:V73"/>
    <mergeCell ref="U130:U132"/>
    <mergeCell ref="V130:V132"/>
    <mergeCell ref="P154:P155"/>
    <mergeCell ref="Q154:Q155"/>
    <mergeCell ref="R154:R155"/>
    <mergeCell ref="G154:G158"/>
    <mergeCell ref="K154:K157"/>
    <mergeCell ref="D127:D135"/>
    <mergeCell ref="E127:G127"/>
    <mergeCell ref="H127:R127"/>
    <mergeCell ref="D115:D123"/>
    <mergeCell ref="E115:G115"/>
    <mergeCell ref="H115:R115"/>
    <mergeCell ref="M154:M156"/>
    <mergeCell ref="H147:H148"/>
    <mergeCell ref="I147:I148"/>
    <mergeCell ref="J147:J148"/>
    <mergeCell ref="K147:K148"/>
    <mergeCell ref="AC115:AC120"/>
    <mergeCell ref="E116:G116"/>
    <mergeCell ref="H116:R116"/>
    <mergeCell ref="E117:G117"/>
    <mergeCell ref="E139:E142"/>
    <mergeCell ref="F139:F142"/>
    <mergeCell ref="G139:G142"/>
    <mergeCell ref="L139:M139"/>
    <mergeCell ref="S139:S142"/>
    <mergeCell ref="H140:H141"/>
    <mergeCell ref="I140:I141"/>
    <mergeCell ref="J140:J141"/>
    <mergeCell ref="K140:K141"/>
    <mergeCell ref="H117:R117"/>
    <mergeCell ref="E118:P118"/>
    <mergeCell ref="U118:U120"/>
    <mergeCell ref="V118:V120"/>
    <mergeCell ref="E121:P121"/>
    <mergeCell ref="AC127:AC132"/>
    <mergeCell ref="E128:G128"/>
    <mergeCell ref="L154:L156"/>
    <mergeCell ref="N194:N196"/>
    <mergeCell ref="E154:E158"/>
    <mergeCell ref="N154:N156"/>
    <mergeCell ref="J154:J157"/>
    <mergeCell ref="F154:F158"/>
    <mergeCell ref="E194:E198"/>
    <mergeCell ref="H154:H157"/>
    <mergeCell ref="G194:G198"/>
    <mergeCell ref="H160:H163"/>
    <mergeCell ref="I160:I163"/>
    <mergeCell ref="J160:J163"/>
    <mergeCell ref="K160:K163"/>
    <mergeCell ref="L160:L162"/>
    <mergeCell ref="M160:M162"/>
    <mergeCell ref="N160:N162"/>
    <mergeCell ref="F194:F198"/>
    <mergeCell ref="I194:I197"/>
    <mergeCell ref="M176:M178"/>
    <mergeCell ref="N176:N178"/>
    <mergeCell ref="H182:H185"/>
    <mergeCell ref="I182:I185"/>
    <mergeCell ref="J182:J185"/>
    <mergeCell ref="K182:K185"/>
    <mergeCell ref="L194:L196"/>
    <mergeCell ref="S160:S161"/>
    <mergeCell ref="L165:L167"/>
    <mergeCell ref="M165:M167"/>
    <mergeCell ref="N165:N167"/>
    <mergeCell ref="O165:O167"/>
    <mergeCell ref="S165:S166"/>
    <mergeCell ref="Q194:Q195"/>
    <mergeCell ref="R194:R195"/>
    <mergeCell ref="S194:S195"/>
    <mergeCell ref="P194:P195"/>
    <mergeCell ref="S169:S170"/>
    <mergeCell ref="L182:L184"/>
    <mergeCell ref="M182:M184"/>
    <mergeCell ref="N182:N184"/>
    <mergeCell ref="O182:O184"/>
    <mergeCell ref="P182:P183"/>
    <mergeCell ref="Q182:Q183"/>
    <mergeCell ref="R182:R183"/>
    <mergeCell ref="S182:S183"/>
    <mergeCell ref="S176:S177"/>
    <mergeCell ref="A13:A15"/>
    <mergeCell ref="D23:D25"/>
    <mergeCell ref="E23:E25"/>
    <mergeCell ref="F23:F25"/>
    <mergeCell ref="G23:G24"/>
    <mergeCell ref="H23:H24"/>
    <mergeCell ref="I23:I24"/>
    <mergeCell ref="J23:J24"/>
    <mergeCell ref="G29:G30"/>
    <mergeCell ref="H29:H30"/>
    <mergeCell ref="I29:I30"/>
    <mergeCell ref="J29:J30"/>
    <mergeCell ref="H128:R128"/>
    <mergeCell ref="E129:G129"/>
    <mergeCell ref="H129:R129"/>
    <mergeCell ref="E130:P130"/>
    <mergeCell ref="D194:D198"/>
    <mergeCell ref="I154:I157"/>
    <mergeCell ref="H194:H197"/>
    <mergeCell ref="J194:J197"/>
    <mergeCell ref="K194:K197"/>
    <mergeCell ref="M194:M196"/>
    <mergeCell ref="O194:O196"/>
    <mergeCell ref="P165:P166"/>
    <mergeCell ref="Q165:Q166"/>
    <mergeCell ref="R165:R166"/>
    <mergeCell ref="P169:P170"/>
    <mergeCell ref="Q169:Q170"/>
    <mergeCell ref="R169:R170"/>
    <mergeCell ref="P191:P192"/>
    <mergeCell ref="Q191:Q192"/>
    <mergeCell ref="R191:R192"/>
    <mergeCell ref="O160:O162"/>
    <mergeCell ref="P160:P161"/>
    <mergeCell ref="Q160:Q161"/>
    <mergeCell ref="R160:R161"/>
    <mergeCell ref="Y72:Y73"/>
    <mergeCell ref="S72:S73"/>
    <mergeCell ref="T72:T73"/>
    <mergeCell ref="M72:M73"/>
    <mergeCell ref="N72:N73"/>
    <mergeCell ref="O72:O73"/>
    <mergeCell ref="Q72:Q73"/>
    <mergeCell ref="R72:R73"/>
    <mergeCell ref="W72:W73"/>
    <mergeCell ref="X72:X73"/>
    <mergeCell ref="P72:P73"/>
    <mergeCell ref="AJ82:AJ86"/>
    <mergeCell ref="AK82:AK86"/>
    <mergeCell ref="I87:K87"/>
    <mergeCell ref="F82:F87"/>
    <mergeCell ref="AF82:AF86"/>
    <mergeCell ref="AG82:AG86"/>
    <mergeCell ref="AH82:AH86"/>
    <mergeCell ref="AI82:AI86"/>
    <mergeCell ref="S83:S85"/>
    <mergeCell ref="T83:T85"/>
    <mergeCell ref="U83:U85"/>
    <mergeCell ref="V83:V85"/>
    <mergeCell ref="W83:W85"/>
    <mergeCell ref="X83:X85"/>
    <mergeCell ref="Y83:Y85"/>
    <mergeCell ref="H82:H86"/>
    <mergeCell ref="I82:I86"/>
    <mergeCell ref="J82:J86"/>
    <mergeCell ref="K82:K86"/>
    <mergeCell ref="L82:L86"/>
    <mergeCell ref="M82:M86"/>
    <mergeCell ref="N83:N85"/>
    <mergeCell ref="O83:O85"/>
    <mergeCell ref="D176:D180"/>
    <mergeCell ref="E176:E180"/>
    <mergeCell ref="F176:F180"/>
    <mergeCell ref="G176:G180"/>
    <mergeCell ref="H176:H179"/>
    <mergeCell ref="I176:I179"/>
    <mergeCell ref="J176:J179"/>
    <mergeCell ref="K176:K179"/>
    <mergeCell ref="L176:L178"/>
    <mergeCell ref="R202:R205"/>
    <mergeCell ref="S202:S205"/>
    <mergeCell ref="U202:U204"/>
    <mergeCell ref="V202:V204"/>
    <mergeCell ref="X202:X204"/>
    <mergeCell ref="Y202:Y204"/>
    <mergeCell ref="AA202:AA203"/>
    <mergeCell ref="AB202:AB203"/>
    <mergeCell ref="D202:D207"/>
    <mergeCell ref="E202:E207"/>
    <mergeCell ref="F202:F207"/>
    <mergeCell ref="G202:G207"/>
    <mergeCell ref="I202:I206"/>
    <mergeCell ref="J202:J206"/>
    <mergeCell ref="L202:L206"/>
    <mergeCell ref="M202:M206"/>
    <mergeCell ref="O202:O205"/>
    <mergeCell ref="D209:D214"/>
    <mergeCell ref="E209:E214"/>
    <mergeCell ref="F209:F214"/>
    <mergeCell ref="G209:G214"/>
    <mergeCell ref="I209:I213"/>
    <mergeCell ref="J209:J213"/>
    <mergeCell ref="L209:L213"/>
    <mergeCell ref="M209:M213"/>
    <mergeCell ref="O209:O212"/>
    <mergeCell ref="AB209:AB210"/>
    <mergeCell ref="AD209:AD210"/>
    <mergeCell ref="AE209:AE210"/>
    <mergeCell ref="AH210:AI210"/>
    <mergeCell ref="AB211:AI211"/>
    <mergeCell ref="V212:AI212"/>
    <mergeCell ref="P213:AI213"/>
    <mergeCell ref="J214:AI214"/>
    <mergeCell ref="AD202:AD203"/>
    <mergeCell ref="AE202:AE203"/>
    <mergeCell ref="AH203:AI203"/>
    <mergeCell ref="AB204:AI204"/>
    <mergeCell ref="V205:AI205"/>
    <mergeCell ref="P206:AI206"/>
    <mergeCell ref="J207:AI207"/>
    <mergeCell ref="P209:P212"/>
    <mergeCell ref="R209:R212"/>
    <mergeCell ref="S209:S212"/>
    <mergeCell ref="U209:U211"/>
    <mergeCell ref="V209:V211"/>
    <mergeCell ref="X209:X211"/>
    <mergeCell ref="Y209:Y211"/>
    <mergeCell ref="AA209:AA210"/>
    <mergeCell ref="P202:P205"/>
    <mergeCell ref="V91:V93"/>
    <mergeCell ref="W91:W93"/>
    <mergeCell ref="X91:X93"/>
    <mergeCell ref="Y91:Y93"/>
    <mergeCell ref="H101:H105"/>
    <mergeCell ref="I101:I105"/>
    <mergeCell ref="J101:J105"/>
    <mergeCell ref="K101:K105"/>
    <mergeCell ref="L101:L105"/>
    <mergeCell ref="M101:M105"/>
    <mergeCell ref="AF101:AF105"/>
    <mergeCell ref="AG101:AG105"/>
    <mergeCell ref="AH101:AH105"/>
    <mergeCell ref="AI101:AI105"/>
    <mergeCell ref="AJ101:AJ105"/>
    <mergeCell ref="AK101:AK105"/>
    <mergeCell ref="N102:N104"/>
    <mergeCell ref="O102:O104"/>
    <mergeCell ref="P102:P104"/>
    <mergeCell ref="Q102:Q104"/>
    <mergeCell ref="R102:R104"/>
    <mergeCell ref="S102:S104"/>
    <mergeCell ref="T102:T104"/>
    <mergeCell ref="U102:U104"/>
    <mergeCell ref="V102:V104"/>
    <mergeCell ref="W102:W104"/>
    <mergeCell ref="X102:X104"/>
    <mergeCell ref="Y102:Y104"/>
    <mergeCell ref="W176:W177"/>
    <mergeCell ref="O176:O178"/>
    <mergeCell ref="P176:P177"/>
    <mergeCell ref="Q176:Q177"/>
    <mergeCell ref="R176:R177"/>
    <mergeCell ref="S191:S192"/>
    <mergeCell ref="W191:W192"/>
    <mergeCell ref="W182:W183"/>
    <mergeCell ref="L187:L189"/>
    <mergeCell ref="M187:M189"/>
    <mergeCell ref="N187:N189"/>
    <mergeCell ref="O187:O189"/>
    <mergeCell ref="P187:P188"/>
    <mergeCell ref="Q187:Q188"/>
    <mergeCell ref="R187:R188"/>
    <mergeCell ref="S187:S188"/>
    <mergeCell ref="W187:W188"/>
  </mergeCells>
  <dataValidations count="20">
    <dataValidation type="decimal" allowBlank="1" showErrorMessage="1" errorTitle="Ошибка" error="Допускается ввод только действительных чисел!" sqref="O110:AB110 CY110:DJ110 BT110:CK110">
      <formula1>-0999999999999999000000000</formula1>
      <formula2>9.99999999999999E+23</formula2>
    </dataValidation>
    <dataValidation errorStyle="warning" type="list" allowBlank="1" showInputMessage="1" prompt="Выберите значение из списка или укажите свой вид твердых коммунальных отходов" errorTitle="Ошибка" error="Выберите значение из списка" sqref="AC202 AC209">
      <formula1>list_typeTKO</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54:N156 N176:N178 N160:N162 N165:N167 N169:N170 N182:N184 N187:N189 N191:N192"/>
    <dataValidation type="list" allowBlank="1" showInputMessage="1" showErrorMessage="1" prompt="Выберите значение из списка" errorTitle="Ошибка" error="Выберите значение из списка" sqref="H110">
      <formula1>QRE_METHOD_LIST</formula1>
    </dataValidation>
    <dataValidation type="list" allowBlank="1" showInputMessage="1" showErrorMessage="1" prompt="Выберите значение из списка" errorTitle="Ошибка" error="Выберите значение из списка" sqref="J140:J141 J147:J148 J150">
      <formula1>kind_of_purchase_method</formula1>
    </dataValidation>
    <dataValidation allowBlank="1" showInputMessage="1" showErrorMessage="1" promptTitle="Ввод" prompt="Для выбора ИП необходимо два раза нажать левую кнопку мыши!" sqref="G72 G77"/>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60"/>
    <dataValidation type="whole" allowBlank="1" showErrorMessage="1" errorTitle="Ошибка" error="Допускается ввод только неотрицательных целых чисел!" sqref="J60 AF91:AF93 AI91:AI93 AF101:AF105 AI101:AI105 AF97 AI97 AF82:AF86 AI82:AI86 N60 P60 U60:V60 Y60:Z60 R60:S60 AC60">
      <formula1>0</formula1>
      <formula2>9.99999999999999E+23</formula2>
    </dataValidation>
    <dataValidation type="list" allowBlank="1" showInputMessage="1" showErrorMessage="1" prompt="Выберите значение из списка" errorTitle="Ошибка" error="Выберите значение из списка" sqref="L60">
      <formula1>kind_of_power_te_unit</formula1>
    </dataValidation>
    <dataValidation allowBlank="1" showInputMessage="1" showErrorMessage="1" prompt="Изменение значения по двойному щелчоку левой кнопки мыши" sqref="J56"/>
    <dataValidation type="list" allowBlank="1" showInputMessage="1" showErrorMessage="1" sqref="I34">
      <formula1>DESCRIPTION_TERRITORY</formula1>
    </dataValidation>
    <dataValidation type="textLength" operator="lessThan" allowBlank="1" showInputMessage="1" showErrorMessage="1" error="Допускается ввод не более 900 символов!" sqref="M23 M29">
      <formula1>900</formula1>
    </dataValidation>
    <dataValidation type="list" allowBlank="1" showDropDown="1" showInputMessage="1" showErrorMessage="1" prompt="Для выбора выполните двойной щелчок левой клавиши мыши по соответствующей ячейке." error="для выбора выполните двойной щелчок по ячейке" sqref="F39 I82:J85 K72 K77 I97:J97 I101:J104">
      <formula1>"a"</formula1>
    </dataValidation>
    <dataValidation type="textLength" operator="lessThanOrEqual" allowBlank="1" showInputMessage="1" showErrorMessage="1" prompt="Введите ссылку на обосновывающие материалы, загруженные с помощью &quot;ЕИАС Web&quot;." errorTitle="Ошибка" error="Допускается ввод не более 900 символов!" sqref="K56 H64 F68">
      <formula1>900</formula1>
    </dataValidation>
    <dataValidation type="list"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errorTitle="Ошибка" error="Выберите значение из списка" sqref="N194:N196">
      <formula1>DESCRIPTION_TERRITORY</formula1>
    </dataValidation>
    <dataValidation allowBlank="1" showInputMessage="1" showErrorMessage="1" prompt="Выберите виды деятельности, выполнив двойной щелчок левой кнопки мыши по ячейке." sqref="G154:G158 G165:G167 G172 G191:G192 G160:G163 G176:G180 G182:G185 G187:G189 G169:G170"/>
    <dataValidation type="decimal" allowBlank="1" showErrorMessage="1" errorTitle="Ошибка" error="Допускается ввод только неотрицательных чисел!" sqref="H60:I60 Q147 O147 O150 Q150 Q140 O140 AC84 AE84 AC92 AE92 AE97 AE103 AC103 AC97 T60 AB60 X60 K60 M60 O60 Q60">
      <formula1>0</formula1>
      <formula2>9.99999999999999E+23</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49 G64 T72 I72:J72 X72 T77 I77:J77 X77"/>
    <dataValidation allowBlank="1" showInputMessage="1" showErrorMessage="1" prompt="Для выбора выполните двойной щелчок левой клавиши мыши по соответствующей ячейке." sqref="F154:F158 K194:K195 O194:O195 S154:S155 S194:S195 O154 K154 F165:F167 S176:S177 O176 K176 F172 K160 S160:S161 O160 K165 S165:S166 O165 O191 K169 S169:S170 O169 F160:F163 K182 S182:S183 O182 F176:F180 F182:F185 S187:S188 O187 F187:F189 F191:F192 S191:S192 F169:F170"/>
    <dataValidation type="textLength" operator="lessThanOrEqual" allowBlank="1" showInputMessage="1" showErrorMessage="1" errorTitle="Ошибка" error="Допускается ввод не более 900 символов!" sqref="E4 L72:M72 E8 J194:J195 R194:R195 U72:W72 V194:W194 AB72 G13 M34 E39 E60 R191:R192 E64:F64 E68 G68 Q72:S72 M82 K82:K85 V154:W154 J154:J155 R154:R155 V176:W176 J176:J177 R176:R177 AI202 J202:J206 P202:P205 AI209 J209:J213 P209:P212 L77:M77 U77:W77 AB77 Q77:S77 V172:W172 J172 R172 K91:K93 M101 K101:K104 K97 V160:W160 J160:J161 R160:R161 V165:W165 J165:J166 R165:R166 V169:W169 J169:J170 R169:R170 V182:W182 J182:J183 R182:R183 V187:W187 J187:J188 R187:R188 V191:W191 J191:J192 E43:F43 F48 F50:F51 I110">
      <formula1>900</formula1>
    </dataValidation>
  </dataValidations>
  <pageMargins left="0.75" right="0.75" top="1" bottom="1" header="0.5" footer="0.5"/>
  <pageSetup orientation="portrait" paperSize="9"/>
</worksheet>
</file>

<file path=xl/worksheets/sheet6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m="http://schemas.microsoft.com/office/excel/2006/main" xmlns:x14ac="http://schemas.microsoft.com/office/spreadsheetml/2009/9/ac" xmlns:xr="http://schemas.microsoft.com/office/spreadsheetml/2014/revision" xmlns:xr2="http://schemas.microsoft.com/office/spreadsheetml/2015/revision2" xmlns:xr3="http://schemas.microsoft.com/office/spreadsheetml/2016/revision3" xr:uid="{116F1CCA-80C1-DF8B-C776-5DE9AE4B92C5}" mc:Ignorable="x14ac xr xr2 xr3">
  <sheetPr>
    <tabColor rgb="FFFFCC99"/>
  </sheetPr>
  <dimension ref="A1:H34"/>
  <sheetViews>
    <sheetView showGridLines="0" workbookViewId="0" topLeftCell="A1">
      <selection pane="topLeft" activeCell="A1" sqref="A1"/>
    </sheetView>
  </sheetViews>
  <sheetFormatPr defaultColWidth="43.1442857142857" defaultRowHeight="9" customHeight="1"/>
  <cols>
    <col min="1" max="1" width="43.1428571428571" style="843"/>
    <col min="2" max="2" width="43.1428571428571" style="843" hidden="1"/>
    <col min="3" max="3" width="43.1428571428571" style="843"/>
    <col min="4" max="5" width="36.4285714285714" style="843" customWidth="1"/>
    <col min="6" max="8" width="36.4285714285714" style="984" customWidth="1"/>
  </cols>
  <sheetData>
    <row r="1" spans="1:8" ht="9" customHeight="1">
      <c r="A1" s="849" t="s">
        <v>1944</v>
      </c>
      <c s="849"/>
      <c s="985" t="s">
        <v>1945</v>
      </c>
      <c s="983" t="s">
        <v>808</v>
      </c>
      <c s="983" t="s">
        <v>854</v>
      </c>
      <c s="983" t="s">
        <v>907</v>
      </c>
      <c s="983" t="s">
        <v>894</v>
      </c>
      <c s="983" t="s">
        <v>1619</v>
      </c>
    </row>
    <row r="2" spans="1:8" ht="9" customHeight="1">
      <c r="A2" s="986" t="s">
        <v>1946</v>
      </c>
      <c s="986"/>
      <c s="987" t="str">
        <f>INDEX(TEMPLATE_NUMBER_FORM_LIST,MATCH(TEMPLATE_SPHERE,TEMPLATE_SPHERE_LIST,0))</f>
        <v>10</v>
      </c>
      <c s="986" t="s">
        <v>1469</v>
      </c>
      <c s="986" t="s">
        <v>151</v>
      </c>
      <c s="988" t="s">
        <v>151</v>
      </c>
      <c s="986" t="s">
        <v>151</v>
      </c>
      <c s="989"/>
    </row>
    <row r="3" spans="1:8" ht="63" customHeight="1">
      <c r="A3" s="849"/>
      <c s="849" t="s">
        <v>109</v>
      </c>
      <c s="987" t="str">
        <f>IF(TEMPLATE_SPHERE="HEAT",D3,IF(TEMPLATE_SPHERE="TKO",H3,E3))</f>
        <v>Форма 8. Информация о наличии (об отсутствии) технической возможности подключения (технологического присоединения) к централизованной системе водоотведения, а также о принятии и рассмотрении заявлений о заключении договоров о подключении (технологическом присоединении) к централизованной системе водоотведения</v>
      </c>
      <c s="987" t="s">
        <v>1947</v>
      </c>
      <c s="987" t="str">
        <f>"Форма 8. Информация о наличии (об отсутствии) технической возможности подключения (технологического присоединения) к централизованной системе "&amp;TEMPLATE_SPHERE_RUS&amp;", а также о принятии и рассмотрении заявлений о заключении договоров о подключении (технологическом присоединении) к централизованной системе "&amp;TEMPLATE_SPHERE_RUS</f>
        <v>Форма 8. Информация о наличии (об отсутствии) технической возможности подключения (технологического присоединения) к централизованной системе водоотведения, а также о принятии и рассмотрении заявлений о заключении договоров о подключении (технологическом присоединении) к централизованной системе водоотведения</v>
      </c>
      <c s="988"/>
      <c s="989"/>
      <c s="849"/>
    </row>
    <row r="4" spans="1:8" ht="243" customHeight="1">
      <c r="A4" s="849" t="s">
        <v>1948</v>
      </c>
      <c s="849" t="s">
        <v>110</v>
      </c>
      <c s="987" t="str">
        <f>IF(TEMPLATE_SPHERE="HEAT",D4,IF(TEMPLATE_SPHERE="TKO",H4,E4))</f>
        <v>Форма 1. Информация об организации, осуществляющей водоотведение (общая информация)</v>
      </c>
      <c s="986" t="s">
        <v>1949</v>
      </c>
      <c s="987" t="str">
        <f>"Форма 1. Информация об организации, осуществляющей "&amp;TEMPLATE_SPHERE_RUS_2&amp;" (общая информация)"</f>
        <v>Форма 1. Информация об организации, осуществляющей водоотведение (общая информация)</v>
      </c>
      <c s="986"/>
      <c s="986"/>
      <c s="849" t="s">
        <v>1950</v>
      </c>
    </row>
    <row r="5" spans="1:8" ht="117" customHeight="1">
      <c r="A5" s="849" t="s">
        <v>1951</v>
      </c>
      <c s="849" t="s">
        <v>89</v>
      </c>
      <c s="987" t="str">
        <f>IF(TEMPLATE_SPHERE="HEAT",D5,IF(TEMPLATE_SPHERE="TKO",H5,E5))</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водоотведения</v>
      </c>
      <c s="849" t="s">
        <v>1952</v>
      </c>
      <c s="852" t="str">
        <f>"Форма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"&amp;TEMPLATE_SPHERE_RUS</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водоотведения</v>
      </c>
      <c s="989"/>
      <c s="989"/>
      <c s="849" t="s">
        <v>1953</v>
      </c>
    </row>
    <row r="6" spans="1:8" ht="90" customHeight="1">
      <c r="A6" s="849" t="s">
        <v>1954</v>
      </c>
      <c s="849" t="s">
        <v>90</v>
      </c>
      <c s="987" t="str">
        <f>IF(TEMPLATE_SPHERE="HEAT",D6,E6)</f>
        <v>Форма 4. Информация об основных показателях финансово-хозяйственной деятельности организации водоотведения, включая структуру основных производственных затрат (в части регулируемых видов деятельности в сфере водоотведения)</v>
      </c>
      <c s="852" t="str">
        <f>IF(TITLE_TYPE_ORG="Регулируемая организация","Форма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деятельности)","Форма 8. Информация о товарах (об услугах), поставляемых (оказываемых) единой теплоснабжающей организацией в ценовых зонах теплоснабжения по регулируемым ценам (тарифам) "&amp;"в сфере теплоснабжения, информация о товарах (об услугах), поставляемых (оказываемых) теплоснабжающей организацией в ценовых"&amp;" зонах теплоснабжения и теплосетевой организацией в ценовых зонах теплоснабжения по регулируемым ценам (тарифам) в сфере теплоснабжения")</f>
        <v>Форма 8. Информация о товарах (об услугах), поставляемых (оказываемых) единой теплоснабжающей организацией в ценовых зонах теплоснабжения по регулируемым ценам (тарифам) в сфере теплоснабжения, информация о товарах (об услугах), поставляемых (оказываемых) теплоснабжающей организацией в ценовых зонах теплоснабжения и теплосетевой организацией в ценовых зонах теплоснабжения по регулируемым ценам (тарифам) в сфере теплоснабжения</v>
      </c>
      <c s="852" t="str">
        <f>"Форма 4. Информация об основных показателях финансово-хозяйственной деятельности организации "&amp;TEMPLATE_SPHERE_RUS&amp;", включая структуру основных производственных затрат (в части регулируемых видов деятельности в сфере "&amp;TEMPLATE_SPHERE_RUS&amp;")"</f>
        <v>Форма 4. Информация об основных показателях финансово-хозяйственной деятельности организации водоотведения, включая структуру основных производственных затрат (в части регулируемых видов деятельности в сфере водоотведения)</v>
      </c>
      <c s="849"/>
      <c s="849"/>
      <c s="989"/>
    </row>
    <row r="7" spans="1:8" ht="45" customHeight="1">
      <c r="A7" s="849" t="s">
        <v>1955</v>
      </c>
      <c s="849" t="s">
        <v>111</v>
      </c>
      <c s="987" t="str">
        <f>IF(TEMPLATE_SPHERE="HEAT",D7,E7)</f>
        <v>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v>
      </c>
      <c s="849" t="s">
        <v>1956</v>
      </c>
      <c s="849" t="s">
        <v>1957</v>
      </c>
      <c s="989"/>
      <c s="989"/>
      <c s="989"/>
    </row>
    <row r="8" spans="1:8" ht="108" customHeight="1">
      <c r="A8" s="849" t="s">
        <v>1958</v>
      </c>
      <c s="849" t="s">
        <v>91</v>
      </c>
      <c s="987" t="str">
        <f>IF(TEMPLATE_SPHERE="HEAT",D8,E8)</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s="849" t="s">
        <v>1156</v>
      </c>
      <c s="849" t="s">
        <v>1959</v>
      </c>
      <c s="989"/>
      <c s="989"/>
      <c s="989"/>
    </row>
    <row r="9" spans="1:8" ht="99" customHeight="1">
      <c r="A9" s="849" t="s">
        <v>1960</v>
      </c>
      <c s="849"/>
      <c s="849" t="s">
        <v>1961</v>
      </c>
      <c s="849"/>
      <c s="849"/>
      <c s="989"/>
      <c s="989"/>
      <c s="989"/>
    </row>
    <row r="10" spans="1:8" ht="126" customHeight="1">
      <c r="A10" s="849" t="s">
        <v>1962</v>
      </c>
      <c s="849"/>
      <c s="849" t="s">
        <v>1963</v>
      </c>
      <c s="849"/>
      <c s="849"/>
      <c s="989"/>
      <c s="989"/>
      <c s="989"/>
    </row>
    <row r="11" spans="1:8" ht="108" customHeight="1">
      <c r="A11" s="849" t="s">
        <v>1964</v>
      </c>
      <c s="849"/>
      <c s="849" t="s">
        <v>1965</v>
      </c>
      <c s="849"/>
      <c s="849"/>
      <c s="989"/>
      <c s="989"/>
      <c s="989"/>
    </row>
    <row r="12" spans="1:8" ht="54" customHeight="1">
      <c r="A12" s="849" t="s">
        <v>1966</v>
      </c>
      <c s="849"/>
      <c s="849" t="s">
        <v>1967</v>
      </c>
      <c s="849"/>
      <c s="849"/>
      <c s="989"/>
      <c s="989"/>
      <c s="989"/>
    </row>
    <row r="13" spans="1:8" ht="45" customHeight="1">
      <c r="A13" s="849" t="s">
        <v>1968</v>
      </c>
      <c s="849"/>
      <c s="849" t="s">
        <v>1969</v>
      </c>
      <c s="849"/>
      <c s="849"/>
      <c s="989"/>
      <c s="989"/>
      <c s="989"/>
    </row>
    <row r="14" spans="1:8" ht="117" customHeight="1">
      <c r="A14" s="849" t="s">
        <v>1970</v>
      </c>
      <c s="849"/>
      <c s="849" t="s">
        <v>1971</v>
      </c>
      <c s="849"/>
      <c s="849"/>
      <c s="989"/>
      <c s="989"/>
      <c s="989"/>
    </row>
    <row r="15" spans="1:8" ht="117" customHeight="1">
      <c r="A15" s="849" t="s">
        <v>1972</v>
      </c>
      <c s="849"/>
      <c s="849" t="s">
        <v>1973</v>
      </c>
      <c s="849"/>
      <c s="849"/>
      <c s="989"/>
      <c s="989"/>
      <c s="989"/>
    </row>
    <row r="16" spans="1:8" ht="63" customHeight="1">
      <c r="A16" s="849" t="s">
        <v>1974</v>
      </c>
      <c s="849"/>
      <c s="849" t="s">
        <v>1975</v>
      </c>
      <c s="849"/>
      <c s="849"/>
      <c s="989"/>
      <c s="989"/>
      <c s="989"/>
    </row>
    <row r="17" spans="1:8" ht="54" customHeight="1">
      <c r="A17" s="849" t="s">
        <v>1976</v>
      </c>
      <c s="849"/>
      <c s="987" t="s">
        <v>1977</v>
      </c>
      <c s="849"/>
      <c s="849"/>
      <c s="989"/>
      <c s="989"/>
      <c s="989"/>
    </row>
    <row r="18" spans="1:8" ht="27" customHeight="1">
      <c r="A18" s="849" t="s">
        <v>1978</v>
      </c>
      <c s="849"/>
      <c s="987" t="s">
        <v>1979</v>
      </c>
      <c s="849"/>
      <c s="849"/>
      <c s="989"/>
      <c s="989"/>
      <c s="989"/>
    </row>
    <row r="19" spans="1:8" ht="54" customHeight="1">
      <c r="A19" s="849" t="s">
        <v>1980</v>
      </c>
      <c s="849"/>
      <c s="987" t="s">
        <v>1981</v>
      </c>
      <c s="849"/>
      <c s="849"/>
      <c s="989"/>
      <c s="989"/>
      <c s="989"/>
    </row>
    <row r="20" spans="1:8" ht="36" customHeight="1">
      <c r="A20" s="849" t="s">
        <v>1982</v>
      </c>
      <c s="849"/>
      <c s="987" t="s">
        <v>1983</v>
      </c>
      <c s="849"/>
      <c s="849"/>
      <c s="989"/>
      <c s="989"/>
      <c s="989"/>
    </row>
    <row r="21" spans="1:8" ht="36" customHeight="1">
      <c r="A21" s="849" t="s">
        <v>1984</v>
      </c>
      <c s="849"/>
      <c s="987" t="s">
        <v>1985</v>
      </c>
      <c s="849"/>
      <c s="849"/>
      <c s="989"/>
      <c s="989"/>
      <c s="989"/>
    </row>
    <row r="22" spans="1:8" ht="27" customHeight="1">
      <c r="A22" s="849" t="s">
        <v>1986</v>
      </c>
      <c s="849"/>
      <c s="987" t="s">
        <v>1987</v>
      </c>
      <c s="849"/>
      <c s="849"/>
      <c s="989"/>
      <c s="989"/>
      <c s="989"/>
    </row>
    <row r="23" spans="1:8" ht="36" customHeight="1">
      <c r="A23" s="849" t="s">
        <v>1988</v>
      </c>
      <c s="849"/>
      <c s="987" t="s">
        <v>1989</v>
      </c>
      <c s="849"/>
      <c s="849"/>
      <c s="989"/>
      <c s="989"/>
      <c s="989"/>
    </row>
    <row r="24" spans="1:8" ht="28.5" customHeight="1">
      <c r="A24" s="849" t="s">
        <v>1990</v>
      </c>
      <c s="849"/>
      <c s="987" t="s">
        <v>1991</v>
      </c>
      <c s="849"/>
      <c s="849"/>
      <c s="989"/>
      <c s="989"/>
      <c s="989"/>
    </row>
    <row r="25" spans="1:8" ht="36" customHeight="1">
      <c r="A25" s="849" t="s">
        <v>1992</v>
      </c>
      <c s="849"/>
      <c s="987" t="s">
        <v>1993</v>
      </c>
      <c s="849"/>
      <c s="849"/>
      <c s="989"/>
      <c s="989"/>
      <c s="989"/>
    </row>
    <row r="26" spans="1:8" ht="27" customHeight="1">
      <c r="A26" s="849" t="s">
        <v>1994</v>
      </c>
      <c s="849"/>
      <c s="987" t="s">
        <v>1995</v>
      </c>
      <c s="849"/>
      <c s="849"/>
      <c s="989"/>
      <c s="989"/>
      <c s="989"/>
    </row>
    <row r="27" spans="1:8" ht="36" customHeight="1">
      <c r="A27" s="849" t="s">
        <v>1996</v>
      </c>
      <c s="849"/>
      <c s="987" t="s">
        <v>1997</v>
      </c>
      <c s="849"/>
      <c s="849"/>
      <c s="989"/>
      <c s="989"/>
      <c s="989"/>
    </row>
    <row r="28" spans="1:8" ht="28.5" customHeight="1">
      <c r="A28" s="849" t="s">
        <v>1998</v>
      </c>
      <c s="849"/>
      <c s="987" t="s">
        <v>1999</v>
      </c>
      <c s="849"/>
      <c s="849"/>
      <c s="989"/>
      <c s="989"/>
      <c s="989"/>
    </row>
    <row r="29" spans="1:8" ht="126" customHeight="1">
      <c r="A29" s="849" t="s">
        <v>2000</v>
      </c>
      <c s="849" t="s">
        <v>1571</v>
      </c>
      <c s="987" t="str">
        <f>IF(TEMPLATE_SPHERE="HEAT",D29,IF(TEMPLATE_SPHERE="TKO",H29,E29))</f>
        <v>Форма 11. Информация о способах приобретения, стоимости и об объемах товаров (работ, услуг), необходимых организации водоотведения для производства товаров (оказания услуг) в сфере водоотведения, тарифы на которые подлежат регулированию</v>
      </c>
      <c s="849" t="s">
        <v>2001</v>
      </c>
      <c s="852" t="str">
        <f>"Форма 11. Информация о способах приобретения, стоимости и об объемах товаров (работ, услуг), необходимых организации "&amp;TEMPLATE_SPHERE_RUS&amp;" для производства товаров (оказания услуг) в сфере "&amp;TEMPLATE_SPHERE_RUS&amp;", тарифы на которые подлежат регулированию"</f>
        <v>Форма 11. Информация о способах приобретения, стоимости и об объемах товаров (работ, услуг), необходимых организации водоотведения для производства товаров (оказания услуг) в сфере водоотведения, тарифы на которые подлежат регулированию</v>
      </c>
      <c s="989"/>
      <c s="989"/>
      <c s="849" t="s">
        <v>2002</v>
      </c>
    </row>
    <row r="30" spans="1:8" ht="36" customHeight="1">
      <c r="A30" s="849" t="s">
        <v>2003</v>
      </c>
      <c s="849"/>
      <c s="987" t="str">
        <f>IF(TEMPLATE_SPHERE="HEAT",D30,IF(TEMPLATE_SPHERE="TKO",H30,E30))</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водоотведения</v>
      </c>
      <c s="849" t="s">
        <v>2004</v>
      </c>
      <c s="852" t="str">
        <f>"Форма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"&amp;TEMPLATE_SPHERE_RUS</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водоотведения</v>
      </c>
      <c s="989"/>
      <c s="989"/>
      <c s="989"/>
    </row>
    <row r="31" spans="1:8" ht="54" customHeight="1">
      <c r="A31" s="849" t="s">
        <v>2005</v>
      </c>
      <c s="849"/>
      <c s="987" t="str">
        <f>IF(TEMPLATE_SPHERE="HEAT",D31,IF(TEMPLATE_SPHERE="TKO",H31,E31))</f>
        <v>Форма 1. Информация об организации, осуществляющей водоотведение (общая информация)</v>
      </c>
      <c s="849" t="s">
        <v>2006</v>
      </c>
      <c s="852" t="str">
        <f>"Форма 1. Информация об организации, осуществляющей "&amp;TEMPLATE_SPHERE_RUS_2&amp;" (общая информация)"</f>
        <v>Форма 1. Информация об организации, осуществляющей водоотведение (общая информация)</v>
      </c>
      <c s="989"/>
      <c s="989"/>
      <c s="989"/>
    </row>
    <row r="32" spans="1:8" ht="198" customHeight="1">
      <c r="A32" s="849" t="s">
        <v>2007</v>
      </c>
      <c s="849"/>
      <c s="987" t="str">
        <f>IF(TEMPLATE_SPHERE="HEAT",D32,IF(TEMPLATE_SPHERE="TKO",H32,E32))</f>
        <v>Форма 7. Информация об инвестиционных программах организации водоотведения и отчетах об их исполнении</v>
      </c>
      <c s="849" t="s">
        <v>2008</v>
      </c>
      <c s="852" t="str">
        <f>"Форма 7. Информация об инвестиционных программах организации "&amp;TEMPLATE_SPHERE_RUS&amp;" и отчетах об их исполнении"</f>
        <v>Форма 7. Информация об инвестиционных программах организации водоотведения и отчетах об их исполнении</v>
      </c>
      <c s="989"/>
      <c s="989"/>
      <c s="849" t="s">
        <v>2009</v>
      </c>
    </row>
    <row r="33" spans="1:8" ht="9" customHeight="1">
      <c r="A33" s="849"/>
      <c s="849"/>
      <c s="987"/>
      <c s="849"/>
      <c s="849"/>
      <c s="989"/>
      <c s="989"/>
      <c s="989"/>
    </row>
    <row r="34" spans="1:8" ht="9" customHeight="1">
      <c r="A34" s="849"/>
      <c s="849" t="s">
        <v>1507</v>
      </c>
      <c s="987">
        <f>INDEX(TEMPLATE_NAME_FORM_LIST,B34,MATCH(TEMPLATE_SPHERE,TEMPLATE_SPHERE_LIST,0))</f>
        <v>0</v>
      </c>
      <c s="849"/>
      <c s="849"/>
      <c s="989"/>
      <c s="989"/>
      <c s="989"/>
    </row>
  </sheetData>
  <sheetProtection insertRows="0" deleteColumns="0" deleteRows="0" sort="0" autoFilter="0"/>
  <pageMargins left="0.7" right="0.7" top="0.75" bottom="0.75" header="0.3" footer="0.3"/>
  <pageSetup orientation="portrait" paperSize="9"/>
</worksheet>
</file>

<file path=xl/worksheets/sheet6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m="http://schemas.microsoft.com/office/excel/2006/main" xmlns:x14ac="http://schemas.microsoft.com/office/spreadsheetml/2009/9/ac" xmlns:xr="http://schemas.microsoft.com/office/spreadsheetml/2014/revision" xmlns:xr2="http://schemas.microsoft.com/office/spreadsheetml/2015/revision2" xmlns:xr3="http://schemas.microsoft.com/office/spreadsheetml/2016/revision3" xr:uid="{6B01594C-2378-D08A-1A71-9902924B4377}" mc:Ignorable="x14ac xr xr2 xr3">
  <sheetPr>
    <tabColor rgb="FFFFCC99"/>
  </sheetPr>
  <dimension ref="A1:AH154"/>
  <sheetViews>
    <sheetView showGridLines="0" workbookViewId="0" topLeftCell="A1">
      <selection pane="topLeft" activeCell="A1" sqref="A1"/>
    </sheetView>
  </sheetViews>
  <sheetFormatPr defaultColWidth="9.14428571428571" defaultRowHeight="9" customHeight="1"/>
  <cols>
    <col min="1" max="2" width="9.14285714285714" style="843"/>
    <col min="3" max="7" width="8" style="845" customWidth="1"/>
    <col min="8" max="12" width="8.57142857142857" style="845" customWidth="1"/>
    <col min="13" max="14" width="27.7142857142857" style="845" customWidth="1"/>
    <col min="15" max="19" width="5.14285714285714" style="845" customWidth="1"/>
    <col min="20" max="24" width="27.7142857142857" style="845" customWidth="1"/>
    <col min="25" max="25" width="1.85714285714286" style="1004" customWidth="1"/>
    <col min="26" max="26" width="27.7142857142857" style="843" customWidth="1"/>
    <col min="27" max="27" width="27.7142857142857" style="854" customWidth="1"/>
    <col min="28" max="29" width="27.7142857142857" style="843" customWidth="1"/>
    <col min="30" max="30" width="3.85714285714286" style="843" customWidth="1"/>
    <col min="31" max="34" width="9.14285714285714" style="843"/>
  </cols>
  <sheetData>
    <row r="1" spans="1:30" s="842" customFormat="1" ht="18" customHeight="1">
      <c r="A1" s="901"/>
      <c s="901"/>
      <c s="901" t="s">
        <v>2010</v>
      </c>
      <c s="901"/>
      <c s="901"/>
      <c s="901"/>
      <c s="901"/>
      <c s="901" t="s">
        <v>2011</v>
      </c>
      <c s="901"/>
      <c s="901"/>
      <c s="901"/>
      <c s="901"/>
      <c s="901" t="s">
        <v>2012</v>
      </c>
      <c s="901" t="s">
        <v>2013</v>
      </c>
      <c s="2595" t="s">
        <v>2014</v>
      </c>
      <c s="2595"/>
      <c s="2595"/>
      <c s="2595"/>
      <c s="2595"/>
      <c s="2595" t="s">
        <v>2012</v>
      </c>
      <c s="2595"/>
      <c s="2595"/>
      <c s="2595"/>
      <c s="2595"/>
      <c s="1002"/>
      <c s="2595" t="s">
        <v>2015</v>
      </c>
      <c s="2595"/>
      <c s="2595"/>
      <c s="2595"/>
      <c s="2595"/>
    </row>
    <row r="2" spans="1:30" ht="18" customHeight="1">
      <c r="A2" s="849"/>
      <c s="849"/>
      <c s="844" t="s">
        <v>808</v>
      </c>
      <c s="844" t="s">
        <v>854</v>
      </c>
      <c s="844" t="s">
        <v>907</v>
      </c>
      <c s="844" t="s">
        <v>894</v>
      </c>
      <c s="844" t="s">
        <v>1619</v>
      </c>
      <c s="846"/>
      <c s="846"/>
      <c s="846"/>
      <c s="846"/>
      <c s="846"/>
      <c s="846"/>
      <c s="846"/>
      <c s="844" t="s">
        <v>808</v>
      </c>
      <c s="844" t="s">
        <v>854</v>
      </c>
      <c s="844" t="s">
        <v>894</v>
      </c>
      <c s="844" t="s">
        <v>907</v>
      </c>
      <c s="844" t="s">
        <v>1619</v>
      </c>
      <c s="844" t="s">
        <v>808</v>
      </c>
      <c s="844" t="s">
        <v>854</v>
      </c>
      <c s="844" t="s">
        <v>894</v>
      </c>
      <c s="844" t="s">
        <v>907</v>
      </c>
      <c s="844" t="s">
        <v>1619</v>
      </c>
      <c s="844"/>
      <c s="844" t="s">
        <v>808</v>
      </c>
      <c s="853" t="s">
        <v>854</v>
      </c>
      <c s="844" t="s">
        <v>894</v>
      </c>
      <c s="844" t="s">
        <v>907</v>
      </c>
      <c s="844" t="s">
        <v>1619</v>
      </c>
    </row>
    <row r="3" spans="1:34" ht="162" customHeight="1">
      <c r="A3" s="848" t="s">
        <v>27</v>
      </c>
      <c s="848"/>
      <c s="2599" t="s">
        <v>2016</v>
      </c>
      <c s="2600"/>
      <c s="2600"/>
      <c s="2601"/>
      <c s="846"/>
      <c s="846"/>
      <c s="846"/>
      <c s="846"/>
      <c s="846"/>
      <c s="846"/>
      <c s="846"/>
      <c s="847" t="str">
        <f>INDEX(TEMPLATE_ORG_DATA_POINT,1,MATCH(TEMPLATE_SPHERE,TEMPLATE_SPHERE_LIST_FOR_NOTE,0))</f>
        <v>В случае если регулируемыми организациями оказываются услуги по водоотведению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v>
      </c>
      <c s="846"/>
      <c s="846"/>
      <c s="846"/>
      <c s="846"/>
      <c s="846"/>
      <c s="846"/>
      <c s="846"/>
      <c s="846"/>
      <c s="846"/>
      <c s="846"/>
      <c s="1003"/>
      <c s="849" t="s">
        <v>2017</v>
      </c>
      <c s="846" t="s">
        <v>2018</v>
      </c>
      <c s="849" t="s">
        <v>2019</v>
      </c>
      <c s="849" t="s">
        <v>2020</v>
      </c>
      <c s="849"/>
      <c r="AG3" s="849"/>
      <c s="849"/>
    </row>
    <row r="4" spans="1:30" ht="9" customHeight="1">
      <c r="A4" s="848"/>
      <c s="848"/>
      <c s="846"/>
      <c s="846"/>
      <c s="846"/>
      <c s="846"/>
      <c s="846"/>
      <c s="846"/>
      <c s="846"/>
      <c s="846"/>
      <c s="846"/>
      <c s="846"/>
      <c s="846"/>
      <c s="846"/>
      <c s="846"/>
      <c s="846"/>
      <c s="846"/>
      <c s="846"/>
      <c s="846"/>
      <c s="846"/>
      <c s="846"/>
      <c s="846"/>
      <c s="846"/>
      <c s="846"/>
      <c s="1003"/>
      <c s="849"/>
      <c s="852"/>
      <c s="849"/>
      <c s="849"/>
      <c s="849"/>
    </row>
    <row r="5" spans="1:30" ht="9" customHeight="1">
      <c r="A5" s="848"/>
      <c s="848"/>
      <c s="846"/>
      <c s="846"/>
      <c s="846"/>
      <c s="846"/>
      <c s="846"/>
      <c s="846"/>
      <c s="846"/>
      <c s="846"/>
      <c s="846"/>
      <c s="846"/>
      <c s="846"/>
      <c s="846"/>
      <c s="846"/>
      <c s="846"/>
      <c s="846"/>
      <c s="846"/>
      <c s="846"/>
      <c s="846"/>
      <c s="846"/>
      <c s="846"/>
      <c s="846"/>
      <c s="846"/>
      <c s="1003"/>
      <c s="849"/>
      <c s="852"/>
      <c s="849"/>
      <c s="849"/>
      <c s="849"/>
    </row>
    <row r="6" spans="1:30" ht="9" customHeight="1">
      <c r="A6" s="848"/>
      <c s="848"/>
      <c s="846"/>
      <c s="846"/>
      <c s="846"/>
      <c s="846"/>
      <c s="846"/>
      <c s="846"/>
      <c s="846"/>
      <c s="846"/>
      <c s="846"/>
      <c s="846"/>
      <c s="846"/>
      <c s="846"/>
      <c s="846"/>
      <c s="846"/>
      <c s="846"/>
      <c s="846"/>
      <c s="846"/>
      <c s="846"/>
      <c s="846"/>
      <c s="846"/>
      <c s="846"/>
      <c s="846"/>
      <c s="1003"/>
      <c s="849"/>
      <c s="852"/>
      <c s="849"/>
      <c s="849"/>
      <c s="849"/>
    </row>
    <row r="7" spans="1:30" ht="9" customHeight="1">
      <c r="A7" s="848"/>
      <c s="848"/>
      <c s="846"/>
      <c s="846"/>
      <c s="846"/>
      <c s="846"/>
      <c s="846"/>
      <c s="846"/>
      <c s="846"/>
      <c s="846"/>
      <c s="846"/>
      <c s="846"/>
      <c s="846"/>
      <c s="846"/>
      <c s="846"/>
      <c s="846"/>
      <c s="846"/>
      <c s="846"/>
      <c s="846"/>
      <c s="846"/>
      <c s="846"/>
      <c s="846"/>
      <c s="846"/>
      <c s="846"/>
      <c s="1003"/>
      <c s="849"/>
      <c s="852"/>
      <c s="849"/>
      <c s="849"/>
      <c s="849"/>
    </row>
    <row r="8" spans="1:30" ht="9" customHeight="1">
      <c r="A8" s="848"/>
      <c s="848"/>
      <c s="846"/>
      <c s="846"/>
      <c s="846"/>
      <c s="846"/>
      <c s="846"/>
      <c s="846"/>
      <c s="846"/>
      <c s="846"/>
      <c s="846"/>
      <c s="846"/>
      <c s="846"/>
      <c s="846"/>
      <c s="846"/>
      <c s="846"/>
      <c s="846"/>
      <c s="846"/>
      <c s="846"/>
      <c s="846"/>
      <c s="846"/>
      <c s="846"/>
      <c s="846"/>
      <c s="846"/>
      <c s="1003"/>
      <c s="849"/>
      <c s="852"/>
      <c s="849"/>
      <c s="849"/>
      <c s="849"/>
    </row>
    <row r="9" spans="1:30" ht="9" customHeight="1">
      <c r="A9" s="848"/>
      <c s="848"/>
      <c s="846"/>
      <c s="846"/>
      <c s="846"/>
      <c s="846"/>
      <c s="846"/>
      <c s="846"/>
      <c s="846"/>
      <c s="846"/>
      <c s="846"/>
      <c s="846"/>
      <c s="846"/>
      <c s="846"/>
      <c s="846"/>
      <c s="846"/>
      <c s="846"/>
      <c s="846"/>
      <c s="846"/>
      <c s="846"/>
      <c s="846"/>
      <c s="846"/>
      <c s="846"/>
      <c s="846"/>
      <c s="1003"/>
      <c s="849"/>
      <c s="852"/>
      <c s="849"/>
      <c s="849"/>
      <c s="849"/>
    </row>
    <row r="10" spans="1:30" ht="9" customHeight="1">
      <c r="A10" s="902"/>
      <c s="902"/>
      <c s="902"/>
      <c s="902"/>
      <c s="902"/>
      <c s="902"/>
      <c s="902"/>
      <c s="902"/>
      <c s="902"/>
      <c s="902"/>
      <c s="902"/>
      <c s="902"/>
      <c s="902"/>
      <c s="902"/>
      <c s="902"/>
      <c s="902"/>
      <c s="902"/>
      <c s="902"/>
      <c s="902"/>
      <c s="902"/>
      <c s="902"/>
      <c s="902"/>
      <c s="902"/>
      <c s="902"/>
      <c s="902"/>
      <c s="902"/>
      <c s="902"/>
      <c s="902"/>
      <c s="902"/>
      <c s="902"/>
    </row>
    <row r="11" spans="1:30" ht="45" customHeight="1">
      <c r="A11" s="2596" t="s">
        <v>33</v>
      </c>
      <c s="902">
        <v>1</v>
      </c>
      <c s="2602" t="s">
        <v>1558</v>
      </c>
      <c s="2602" t="s">
        <v>1554</v>
      </c>
      <c s="2602" t="s">
        <v>1651</v>
      </c>
      <c s="2602" t="s">
        <v>2021</v>
      </c>
      <c s="2602"/>
      <c s="901" t="s">
        <v>2022</v>
      </c>
      <c s="901"/>
      <c s="901"/>
      <c s="901"/>
      <c s="901"/>
      <c s="847" t="str">
        <f>IF(TEMPLATE_SPHERE="HEAT",T11,U11)</f>
        <v>Количество поданных заявлений</v>
      </c>
      <c s="847" t="str">
        <f>IF(TEMPLATE_SPHERE="HEAT",Z11,AA11)</f>
        <v>Указывается количество поданных заявлений о заключении договоров о подключении (технологическом присоединении) к централизованной системе водоотведения в течение одного квартала.</v>
      </c>
      <c s="846"/>
      <c s="846"/>
      <c s="846"/>
      <c s="846"/>
      <c s="846"/>
      <c s="846" t="s">
        <v>2023</v>
      </c>
      <c s="846" t="s">
        <v>2024</v>
      </c>
      <c s="846"/>
      <c s="846"/>
      <c s="846"/>
      <c s="1003"/>
      <c s="849" t="s">
        <v>2025</v>
      </c>
      <c s="852" t="str">
        <f>"Указывается количество поданных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поданных заявлений о заключении договоров о подключении (технологическом присоединении) к централизованной системе водоотведения в течение одного квартала.</v>
      </c>
      <c s="849"/>
      <c s="849"/>
      <c s="849"/>
    </row>
    <row r="12" spans="1:30" ht="45" customHeight="1">
      <c r="A12" s="2596"/>
      <c s="902">
        <v>2</v>
      </c>
      <c s="2603"/>
      <c s="2603"/>
      <c s="2603"/>
      <c s="2603"/>
      <c s="2603"/>
      <c s="901" t="s">
        <v>2026</v>
      </c>
      <c s="901"/>
      <c s="901"/>
      <c s="901"/>
      <c s="901"/>
      <c s="847" t="str">
        <f>IF(TEMPLATE_SPHERE="HEAT",T12,U12)</f>
        <v>Количество исполненных заявлений</v>
      </c>
      <c s="847" t="str">
        <f>IF(TEMPLATE_SPHERE="HEAT",Z12,AA12)</f>
        <v>Указывается количество исполненных заявлений о заключении договоров о подключении (технологическом присоединении) к централизованной системе водоотведения в течение одного квартала.</v>
      </c>
      <c s="846"/>
      <c s="846"/>
      <c s="846"/>
      <c s="846"/>
      <c s="846"/>
      <c s="846" t="s">
        <v>2027</v>
      </c>
      <c s="846" t="s">
        <v>2028</v>
      </c>
      <c s="846"/>
      <c s="846"/>
      <c s="846"/>
      <c s="1003"/>
      <c s="849" t="s">
        <v>2029</v>
      </c>
      <c s="852" t="str">
        <f>"Указывается количество исполненных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исполненных заявлений о заключении договоров о подключении (технологическом присоединении) к централизованной системе водоотведения в течение одного квартала.</v>
      </c>
      <c s="849"/>
      <c s="849"/>
      <c s="849"/>
    </row>
    <row r="13" spans="1:30" ht="72" customHeight="1">
      <c r="A13" s="2596"/>
      <c s="902">
        <v>3</v>
      </c>
      <c s="2603"/>
      <c s="2603"/>
      <c s="2603"/>
      <c s="2603"/>
      <c s="2603"/>
      <c s="2595" t="s">
        <v>2030</v>
      </c>
      <c s="901"/>
      <c s="901"/>
      <c s="901"/>
      <c s="901"/>
      <c s="847" t="str">
        <f>IF(TEMPLATE_SPHERE="HEAT",T13,U13)</f>
        <v>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v>
      </c>
      <c s="847" t="str">
        <f>IF(TEMPLATE_SPHERE="HEAT",Z13,AA13)</f>
        <v>Указывается количество заявлений о заключении договоров о подключении (технологическом присоединении) к централизованной системе водоотведения, по которым организацией водоотведения отказано в заключении договора о подключении (технологическом присоединении) к централизованной системе водоотведения с указанием причин, в течение одного квартала.</v>
      </c>
      <c s="846"/>
      <c s="847"/>
      <c s="847"/>
      <c s="847"/>
      <c s="846"/>
      <c s="846" t="s">
        <v>2031</v>
      </c>
      <c s="847" t="s">
        <v>2032</v>
      </c>
      <c s="847"/>
      <c s="847"/>
      <c s="846"/>
      <c s="1003"/>
      <c s="849" t="s">
        <v>2033</v>
      </c>
      <c s="852" t="str">
        <f>"Указывается количество заявлений о заключении договоров о подключении (технологическом присоединении) к централизованной системе "&amp;TEMPLATE_SPHERE_RUS&amp;", по которым организацией "&amp;TEMPLATE_SPHERE_RUS&amp;" отказано в заключении договора о подключении (технологическом присоединении) к централизованной системе "&amp;TEMPLATE_SPHERE_RUS&amp;" с указанием причин, в течение одного квартала."</f>
        <v>Указывается количество заявлений о заключении договоров о подключении (технологическом присоединении) к централизованной системе водоотведения, по которым организацией водоотведения отказано в заключении договора о подключении (технологическом присоединении) к централизованной системе водоотведения с указанием причин, в течение одного квартала.</v>
      </c>
      <c s="849"/>
      <c s="849"/>
      <c s="849"/>
    </row>
    <row r="14" spans="1:30" ht="45" customHeight="1">
      <c r="A14" s="2596"/>
      <c s="902">
        <v>4</v>
      </c>
      <c s="2603"/>
      <c s="2603"/>
      <c s="2603"/>
      <c s="2603"/>
      <c s="2603"/>
      <c s="2595"/>
      <c s="904"/>
      <c s="904"/>
      <c s="904"/>
      <c s="904"/>
      <c s="850" t="str">
        <f>IF(TEMPLATE_SPHERE="HEAT",T14,U14)</f>
        <v>Причины отказа в заключении договора о подключении (технологическом присоединении) к централизованной системе водоотведения</v>
      </c>
      <c s="847" t="str">
        <f>IF(TEMPLATE_SPHERE="HEAT",Z14,AA14)</f>
        <v>Указывается текстовое описание причин принятия решений.
Не заполняется в случае, если решения об отказе в течение отчетного периода не принимались.</v>
      </c>
      <c s="846"/>
      <c s="847"/>
      <c s="847"/>
      <c s="847"/>
      <c s="846"/>
      <c s="846" t="s">
        <v>2034</v>
      </c>
      <c s="847" t="str">
        <f>"Причины отказа в заключении договора о подключении (технологическом присоединении) к централизованной системе "&amp;TEMPLATE_SPHERE_RUS</f>
        <v>Причины отказа в заключении договора о подключении (технологическом присоединении) к централизованной системе водоотведения</v>
      </c>
      <c s="847"/>
      <c s="847"/>
      <c s="846"/>
      <c s="1003"/>
      <c s="849" t="s">
        <v>2035</v>
      </c>
      <c s="852" t="s">
        <v>2035</v>
      </c>
      <c s="849"/>
      <c s="849"/>
      <c s="849"/>
    </row>
    <row r="15" spans="1:30" ht="108" customHeight="1">
      <c r="A15" s="2596"/>
      <c s="902">
        <v>5</v>
      </c>
      <c s="2603"/>
      <c s="2603"/>
      <c s="2603"/>
      <c s="2603"/>
      <c s="2603"/>
      <c s="2597" t="s">
        <v>2036</v>
      </c>
      <c s="903"/>
      <c s="903"/>
      <c s="903"/>
      <c s="903"/>
      <c s="852" t="str">
        <f>IF(TEMPLATE_SPHERE="HEAT",T15,U15)</f>
        <v>Наличие свободной мощности (резерва мощности) на соответствующих объектах централизованных систем водоотведения в течение одного квартала, в том числе:</v>
      </c>
      <c s="851" t="str">
        <f>IF(TEMPLATE_SPHERE="HEAT",Z15,AA15)</f>
        <v>Указывается наличие свободной мощности (резерв мощности) на соответствующих объектах централизованной системы водоотведения (совокупности централизованных систем водоотведения) в случае, если для них установлены одинаковые тарифы в сфере водоотведения.
В случае если регулируемыми организациями оказываются услуги водоотведения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v>
      </c>
      <c s="846"/>
      <c s="847"/>
      <c s="847"/>
      <c s="847"/>
      <c s="846"/>
      <c s="846" t="s">
        <v>2037</v>
      </c>
      <c s="847" t="str">
        <f>"Наличие свободной мощности (резерва мощности) на соответствующих объектах централизованных систем "&amp;TEMPLATE_SPHERE_RUS&amp;" в течение одного квартала, в том числе:"</f>
        <v>Наличие свободной мощности (резерва мощности) на соответствующих объектах централизованных систем водоотведения в течение одного квартала, в том числе:</v>
      </c>
      <c s="847"/>
      <c s="847"/>
      <c s="846"/>
      <c s="1003"/>
      <c s="849" t="s">
        <v>2038</v>
      </c>
      <c s="852" t="str">
        <f>"Указывается наличие свободной мощности (резерв мощности) на соответствующих объектах централизованной системы "&amp;TEMPLATE_SPHERE_RUS&amp;" (совокупности централизованных систем "&amp;TEMPLATE_SPHERE_RUS&amp;") в случае, если для них установлены одинаковые тарифы в сфере "&amp;TEMPLATE_SPHERE_RUS&amp;".
В случае если регулируемыми организациями оказываются услуги "&amp;TEMPLATE_SPHERE_RUS&amp;" по нескольким технологически не связанным между собой централизованным системам "&amp;TEMPLATE_SPHERE_RUS&amp;", и если в отношении указанных систем устанавливаются различные тарифы в сфере "&amp;TEMPLATE_SPHERE_RUS&amp;", то информация раскрывается отдельно по каждой централизованной системе "&amp;TEMPLATE_SPHERE_RUS&amp;"."</f>
        <v>Указывается наличие свободной мощности (резерв мощности) на соответствующих объектах централизованной системы водоотведения (совокупности централизованных систем водоотведения) в случае, если для них установлены одинаковые тарифы в сфере водоотведения.
В случае если регулируемыми организациями оказываются услуги водоотведения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v>
      </c>
      <c s="849"/>
      <c s="849"/>
      <c s="849"/>
    </row>
    <row r="16" spans="1:30" ht="108" customHeight="1">
      <c r="A16" s="902"/>
      <c s="902">
        <v>6</v>
      </c>
      <c s="2604"/>
      <c s="2604"/>
      <c s="2604"/>
      <c s="2604"/>
      <c s="2604"/>
      <c s="2598"/>
      <c s="965"/>
      <c s="965"/>
      <c s="965"/>
      <c s="965"/>
      <c s="895"/>
      <c s="851" t="str">
        <f>IF(TEMPLATE_SPHERE="HEAT",Z16,AA16)</f>
        <v>Указывается наличие свободной мощности (резерв мощности) для централизованной системы водоотведения, тариф для которой не является отличным от тарифов других централизованных систем водоотведения регулируемой организации.
При использовании регулируемой организацией нескольких централизованных систем водоотведения информация о наличии свободной мощности (резерве мощности) на соответствующих объектах централизованных систем водоотведения публикуется в отношении каждой централизованной системы водоотведения в отдельных строках.</v>
      </c>
      <c s="846"/>
      <c s="847"/>
      <c s="847"/>
      <c s="847"/>
      <c s="846"/>
      <c s="846"/>
      <c s="847"/>
      <c s="847"/>
      <c s="847"/>
      <c s="846"/>
      <c s="1003"/>
      <c s="849" t="s">
        <v>2038</v>
      </c>
      <c s="852" t="str">
        <f>"Указывается наличие свободной мощности (резерв мощности) для централизованной системы "&amp;TEMPLATE_SPHERE_RUS&amp;", тариф для которой не является отличным от тарифов других централизованных систем "&amp;TEMPLATE_SPHERE_RUS&amp;" регулируемой организации.
При использовании регулируемой организацией нескольких централизованных систем "&amp;TEMPLATE_SPHERE_RUS&amp;" информация о наличии свободной мощности (резерве мощности) на соответствующих объектах централизованных систем "&amp;TEMPLATE_SPHERE_RUS&amp;" публикуется в отношении каждой централизованной системы "&amp;TEMPLATE_SPHERE_RUS&amp;" в отдельных строках."</f>
        <v>Указывается наличие свободной мощности (резерв мощности) для централизованной системы водоотведения, тариф для которой не является отличным от тарифов других централизованных систем водоотведения регулируемой организации.
При использовании регулируемой организацией нескольких централизованных систем водоотведения информация о наличии свободной мощности (резерве мощности) на соответствующих объектах централизованных систем водоотведения публикуется в отношении каждой централизованной системы водоотведения в отдельных строках.</v>
      </c>
      <c s="849"/>
      <c s="849"/>
      <c s="849"/>
    </row>
    <row r="17" spans="1:30" ht="9" customHeight="1">
      <c r="A17" s="902"/>
      <c s="902"/>
      <c s="902">
        <v>22</v>
      </c>
      <c s="902">
        <v>21</v>
      </c>
      <c s="902">
        <v>42</v>
      </c>
      <c s="902">
        <v>63</v>
      </c>
      <c s="902"/>
      <c s="902"/>
      <c s="902"/>
      <c s="902"/>
      <c s="902"/>
      <c s="902"/>
      <c s="902"/>
      <c s="902"/>
      <c s="902"/>
      <c s="902"/>
      <c s="902"/>
      <c s="902"/>
      <c s="902"/>
      <c s="902"/>
      <c s="902"/>
      <c s="902"/>
      <c s="902"/>
      <c s="902"/>
      <c s="902"/>
      <c s="902"/>
      <c s="902"/>
      <c s="902"/>
      <c s="902"/>
      <c s="902"/>
    </row>
    <row r="18" spans="1:30" ht="27" customHeight="1">
      <c r="A18" s="848" t="s">
        <v>1654</v>
      </c>
      <c s="902">
        <v>1</v>
      </c>
      <c s="846" t="s">
        <v>2022</v>
      </c>
      <c s="970" t="s">
        <v>2022</v>
      </c>
      <c s="846" t="s">
        <v>2022</v>
      </c>
      <c s="846" t="s">
        <v>2022</v>
      </c>
      <c s="846"/>
      <c s="1005"/>
      <c s="1008">
        <f>INDEX(TEMPLATE_NUMBER_POINT_FHD,B18,MATCH(TEMPLATE_SPHERE,TEMPLATE_SPHERE_LIST_FOR_NOTE,0))</f>
        <v>1</v>
      </c>
      <c s="1008" t="str">
        <f>INDEX(TEMPLATE_DATA_POINT_FHD,B18,MATCH(TEMPLATE_SPHERE,TEMPLATE_SPHERE_LIST_FOR_NOTE,0))</f>
        <v>Выручка от регулируемых видов деятельности в сфере водоотведения</v>
      </c>
      <c s="1008" t="str">
        <f>INDEX(TEMPLATE_NOTE_POINT_FHD,B18,MATCH(TEMPLATE_SPHERE,TEMPLATE_SPHERE_LIST_FOR_NOTE,0))</f>
        <v>Указывается выручка с распределением по видам деятельности.</v>
      </c>
      <c s="847">
        <f>IF(I18=0,"",I18)</f>
        <v>1</v>
      </c>
      <c s="847" t="str">
        <f>IF(J18=0,"",J18)</f>
        <v>Выручка от регулируемых видов деятельности в сфере водоотведения</v>
      </c>
      <c s="847" t="str">
        <f>IF(K18=0,"",K18)</f>
        <v>Указывается выручка с распределением по видам деятельности.</v>
      </c>
      <c s="960">
        <v>1</v>
      </c>
      <c s="960">
        <v>1</v>
      </c>
      <c s="960">
        <v>1</v>
      </c>
      <c s="960">
        <v>1</v>
      </c>
      <c s="960"/>
      <c s="967" t="s">
        <v>2039</v>
      </c>
      <c s="849" t="s">
        <v>2040</v>
      </c>
      <c s="849" t="s">
        <v>2041</v>
      </c>
      <c s="849" t="s">
        <v>2042</v>
      </c>
      <c s="846"/>
      <c s="1003"/>
      <c s="849" t="s">
        <v>2043</v>
      </c>
      <c s="852" t="s">
        <v>2044</v>
      </c>
      <c s="852" t="s">
        <v>2044</v>
      </c>
      <c s="852" t="s">
        <v>2044</v>
      </c>
      <c s="849"/>
    </row>
    <row r="19" spans="1:30" ht="36" customHeight="1">
      <c r="A19" s="848"/>
      <c s="902">
        <v>2</v>
      </c>
      <c s="846" t="s">
        <v>2026</v>
      </c>
      <c s="970" t="s">
        <v>2026</v>
      </c>
      <c s="846" t="s">
        <v>2026</v>
      </c>
      <c s="846" t="s">
        <v>2026</v>
      </c>
      <c s="846"/>
      <c s="1005"/>
      <c s="1008">
        <f>INDEX(TEMPLATE_NUMBER_POINT_FHD,B19,MATCH(TEMPLATE_SPHERE,TEMPLATE_SPHERE_LIST_FOR_NOTE,0))</f>
        <v>2</v>
      </c>
      <c s="1008" t="str">
        <f>INDEX(TEMPLATE_DATA_POINT_FHD,B19,MATCH(TEMPLATE_SPHERE,TEMPLATE_SPHERE_LIST_FOR_NOTE,0))</f>
        <v>Себестоимость производимых товаров (оказываемых услуг) по регулируемым видам деятельности в сфере водоотведения, включая:</v>
      </c>
      <c s="1008" t="str">
        <f>INDEX(TEMPLATE_NOTE_POINT_FHD,B19,MATCH(TEMPLATE_SPHERE,TEMPLATE_SPHERE_LIST_FOR_NOTE,0))</f>
        <v>Указывается суммарная себестоимость производимых товаров.</v>
      </c>
      <c s="847">
        <f>IF(I19=0,"",I19)</f>
        <v>2</v>
      </c>
      <c s="847" t="str">
        <f>IF(J19=0,"",J19)</f>
        <v>Себестоимость производимых товаров (оказываемых услуг) по регулируемым видам деятельности в сфере водоотведения, включая:</v>
      </c>
      <c s="847" t="str">
        <f>IF(K19=0,"",K19)</f>
        <v>Указывается суммарная себестоимость производимых товаров.</v>
      </c>
      <c s="960">
        <v>2</v>
      </c>
      <c s="960">
        <v>2</v>
      </c>
      <c s="960">
        <v>2</v>
      </c>
      <c s="960">
        <v>2</v>
      </c>
      <c s="960"/>
      <c s="967" t="s">
        <v>2045</v>
      </c>
      <c s="849" t="s">
        <v>2046</v>
      </c>
      <c s="849" t="s">
        <v>2047</v>
      </c>
      <c s="849" t="s">
        <v>2048</v>
      </c>
      <c s="846"/>
      <c s="1003"/>
      <c s="849" t="s">
        <v>2049</v>
      </c>
      <c s="852" t="s">
        <v>2049</v>
      </c>
      <c s="852" t="s">
        <v>2049</v>
      </c>
      <c s="852" t="s">
        <v>2049</v>
      </c>
      <c s="849"/>
    </row>
    <row r="20" spans="1:30" ht="27" customHeight="1">
      <c r="A20" s="848"/>
      <c s="902">
        <v>3</v>
      </c>
      <c s="846">
        <v>1</v>
      </c>
      <c s="970"/>
      <c s="846"/>
      <c s="846"/>
      <c s="846"/>
      <c s="1005"/>
      <c s="1008" t="str">
        <f>INDEX(TEMPLATE_NUMBER_POINT_FHD,B20,MATCH(TEMPLATE_SPHERE,TEMPLATE_SPHERE_LIST_FOR_NOTE,0))</f>
        <v>2.1</v>
      </c>
      <c s="1008" t="str">
        <f>INDEX(TEMPLATE_DATA_POINT_FHD,B20,MATCH(TEMPLATE_SPHERE,TEMPLATE_SPHERE_LIST_FOR_NOTE,0))</f>
        <v>Расходы на оплату услуг по приему, транспортировке и очистке сточных вод другими организациями</v>
      </c>
      <c s="1008">
        <f>INDEX(TEMPLATE_NOTE_POINT_FHD,B20,MATCH(TEMPLATE_SPHERE,TEMPLATE_SPHERE_LIST_FOR_NOTE,0))</f>
        <v>0</v>
      </c>
      <c s="847" t="str">
        <f>IF(I20=0,"",I20)</f>
        <v>2.1</v>
      </c>
      <c s="847" t="str">
        <f>IF(J20=0,"",J20)</f>
        <v>Расходы на оплату услуг по приему, транспортировке и очистке сточных вод другими организациями</v>
      </c>
      <c s="847" t="str">
        <f>IF(K20=0,"",K20)</f>
        <v/>
      </c>
      <c s="960" t="s">
        <v>709</v>
      </c>
      <c s="960" t="s">
        <v>709</v>
      </c>
      <c s="960" t="s">
        <v>709</v>
      </c>
      <c s="960" t="s">
        <v>709</v>
      </c>
      <c s="960"/>
      <c s="967" t="s">
        <v>2050</v>
      </c>
      <c s="849" t="s">
        <v>2051</v>
      </c>
      <c s="849" t="s">
        <v>2052</v>
      </c>
      <c s="849" t="s">
        <v>2053</v>
      </c>
      <c s="846"/>
      <c s="1003"/>
      <c s="849"/>
      <c s="852"/>
      <c s="849"/>
      <c s="849"/>
      <c s="849"/>
    </row>
    <row r="21" spans="1:30" ht="36" customHeight="1">
      <c r="A21" s="848"/>
      <c s="902">
        <v>4</v>
      </c>
      <c s="846">
        <v>2</v>
      </c>
      <c s="970"/>
      <c s="846"/>
      <c s="846"/>
      <c s="846"/>
      <c s="1005"/>
      <c s="1008">
        <f>INDEX(TEMPLATE_NUMBER_POINT_FHD,B21,MATCH(TEMPLATE_SPHERE,TEMPLATE_SPHERE_LIST_FOR_NOTE,0))</f>
        <v>0</v>
      </c>
      <c s="1008">
        <f>INDEX(TEMPLATE_DATA_POINT_FHD,B21,MATCH(TEMPLATE_SPHERE,TEMPLATE_SPHERE_LIST_FOR_NOTE,0))</f>
        <v>0</v>
      </c>
      <c s="1008">
        <f>INDEX(TEMPLATE_NOTE_POINT_FHD,B21,MATCH(TEMPLATE_SPHERE,TEMPLATE_SPHERE_LIST_FOR_NOTE,0))</f>
        <v>0</v>
      </c>
      <c s="847" t="str">
        <f>IF(I21=0,"",I21)</f>
        <v/>
      </c>
      <c s="847" t="str">
        <f>IF(J21=0,"",J21)</f>
        <v/>
      </c>
      <c s="847" t="str">
        <f>IF(K21=0,"",K21)</f>
        <v/>
      </c>
      <c s="960" t="s">
        <v>307</v>
      </c>
      <c s="960"/>
      <c s="960"/>
      <c s="960"/>
      <c s="960"/>
      <c s="967" t="s">
        <v>2054</v>
      </c>
      <c s="849"/>
      <c s="849"/>
      <c s="849"/>
      <c s="846"/>
      <c s="1003"/>
      <c s="849" t="s">
        <v>2055</v>
      </c>
      <c s="852"/>
      <c s="849"/>
      <c s="849"/>
      <c s="849"/>
    </row>
    <row r="22" spans="1:30" ht="36" customHeight="1">
      <c r="A22" s="848"/>
      <c s="902">
        <v>5</v>
      </c>
      <c s="846">
        <v>3</v>
      </c>
      <c s="970"/>
      <c s="846"/>
      <c s="846"/>
      <c s="894"/>
      <c s="961"/>
      <c s="1008">
        <f>INDEX(TEMPLATE_NUMBER_POINT_FHD,B22,MATCH(TEMPLATE_SPHERE,TEMPLATE_SPHERE_LIST_FOR_NOTE,0))</f>
        <v>0</v>
      </c>
      <c s="1008">
        <f>INDEX(TEMPLATE_DATA_POINT_FHD,B22,MATCH(TEMPLATE_SPHERE,TEMPLATE_SPHERE_LIST_FOR_NOTE,0))</f>
        <v>0</v>
      </c>
      <c s="1008">
        <f>INDEX(TEMPLATE_NOTE_POINT_FHD,B22,MATCH(TEMPLATE_SPHERE,TEMPLATE_SPHERE_LIST_FOR_NOTE,0))</f>
        <v>0</v>
      </c>
      <c s="847" t="str">
        <f>IF(I22=0,"",I22)</f>
        <v/>
      </c>
      <c s="847" t="str">
        <f>IF(J22=0,"",J22)</f>
        <v/>
      </c>
      <c s="847" t="str">
        <f>IF(K22=0,"",K22)</f>
        <v/>
      </c>
      <c s="960"/>
      <c s="960"/>
      <c s="960" t="s">
        <v>307</v>
      </c>
      <c s="960"/>
      <c s="960"/>
      <c s="967"/>
      <c s="849"/>
      <c s="849" t="s">
        <v>2056</v>
      </c>
      <c s="849"/>
      <c s="846"/>
      <c s="1003"/>
      <c s="849"/>
      <c s="852"/>
      <c s="849"/>
      <c s="849"/>
      <c s="849"/>
    </row>
    <row r="23" spans="1:30" ht="27" customHeight="1">
      <c r="A23" s="848"/>
      <c s="902">
        <v>6</v>
      </c>
      <c s="846">
        <v>4</v>
      </c>
      <c s="970"/>
      <c s="846"/>
      <c s="846"/>
      <c s="894"/>
      <c s="961"/>
      <c s="1008">
        <f>INDEX(TEMPLATE_NUMBER_POINT_FHD,B23,MATCH(TEMPLATE_SPHERE,TEMPLATE_SPHERE_LIST_FOR_NOTE,0))</f>
        <v>0</v>
      </c>
      <c s="1008">
        <f>INDEX(TEMPLATE_DATA_POINT_FHD,B23,MATCH(TEMPLATE_SPHERE,TEMPLATE_SPHERE_LIST_FOR_NOTE,0))</f>
        <v>0</v>
      </c>
      <c s="1008">
        <f>INDEX(TEMPLATE_NOTE_POINT_FHD,B23,MATCH(TEMPLATE_SPHERE,TEMPLATE_SPHERE_LIST_FOR_NOTE,0))</f>
        <v>0</v>
      </c>
      <c s="847" t="str">
        <f>IF(I23=0,"",I23)</f>
        <v/>
      </c>
      <c s="847" t="str">
        <f>IF(J23=0,"",J23)</f>
        <v/>
      </c>
      <c s="847" t="str">
        <f>IF(K23=0,"",K23)</f>
        <v/>
      </c>
      <c s="960"/>
      <c s="960"/>
      <c s="960" t="s">
        <v>310</v>
      </c>
      <c s="960"/>
      <c s="960"/>
      <c s="967"/>
      <c s="849"/>
      <c s="849" t="s">
        <v>2057</v>
      </c>
      <c s="849"/>
      <c s="846"/>
      <c s="1003"/>
      <c s="849"/>
      <c s="852"/>
      <c s="849"/>
      <c s="849"/>
      <c s="849"/>
    </row>
    <row r="24" spans="1:30" ht="36" customHeight="1">
      <c r="A24" s="848"/>
      <c s="902">
        <v>7</v>
      </c>
      <c s="846">
        <v>5</v>
      </c>
      <c s="970"/>
      <c s="846"/>
      <c s="846"/>
      <c s="894"/>
      <c s="961"/>
      <c s="1008">
        <f>INDEX(TEMPLATE_NUMBER_POINT_FHD,B24,MATCH(TEMPLATE_SPHERE,TEMPLATE_SPHERE_LIST_FOR_NOTE,0))</f>
        <v>0</v>
      </c>
      <c s="1008">
        <f>INDEX(TEMPLATE_DATA_POINT_FHD,B24,MATCH(TEMPLATE_SPHERE,TEMPLATE_SPHERE_LIST_FOR_NOTE,0))</f>
        <v>0</v>
      </c>
      <c s="1008">
        <f>INDEX(TEMPLATE_NOTE_POINT_FHD,B24,MATCH(TEMPLATE_SPHERE,TEMPLATE_SPHERE_LIST_FOR_NOTE,0))</f>
        <v>0</v>
      </c>
      <c s="847" t="str">
        <f>IF(I24=0,"",I24)</f>
        <v/>
      </c>
      <c s="847" t="str">
        <f>IF(J24=0,"",J24)</f>
        <v/>
      </c>
      <c s="847" t="str">
        <f>IF(K24=0,"",K24)</f>
        <v/>
      </c>
      <c s="960"/>
      <c s="960"/>
      <c s="960" t="s">
        <v>729</v>
      </c>
      <c s="960"/>
      <c s="960"/>
      <c s="967"/>
      <c s="849"/>
      <c s="849" t="s">
        <v>2058</v>
      </c>
      <c s="849"/>
      <c s="846"/>
      <c s="1003"/>
      <c s="849"/>
      <c s="852"/>
      <c s="849"/>
      <c s="849"/>
      <c s="849"/>
    </row>
    <row r="25" spans="1:30" ht="36" customHeight="1">
      <c r="A25" s="848"/>
      <c s="902">
        <v>8</v>
      </c>
      <c s="846">
        <v>6</v>
      </c>
      <c s="970"/>
      <c s="846"/>
      <c s="846"/>
      <c s="894"/>
      <c s="961"/>
      <c s="1008" t="str">
        <f>INDEX(TEMPLATE_NUMBER_POINT_FHD,B25,MATCH(TEMPLATE_SPHERE,TEMPLATE_SPHERE_LIST_FOR_NOTE,0))</f>
        <v>2.2</v>
      </c>
      <c s="1008" t="str">
        <f>INDEX(TEMPLATE_DATA_POINT_FHD,B25,MATCH(TEMPLATE_SPHERE,TEMPLATE_SPHERE_LIST_FOR_NOTE,0))</f>
        <v>Расходы на приобретаемую электрическую энергию (мощность), используемую в технологическом процессе</v>
      </c>
      <c s="1008">
        <f>INDEX(TEMPLATE_NOTE_POINT_FHD,B25,MATCH(TEMPLATE_SPHERE,TEMPLATE_SPHERE_LIST_FOR_NOTE,0))</f>
        <v>0</v>
      </c>
      <c s="847" t="str">
        <f>IF(I25=0,"",I25)</f>
        <v>2.2</v>
      </c>
      <c s="847" t="str">
        <f>IF(J25=0,"",J25)</f>
        <v>Расходы на приобретаемую электрическую энергию (мощность), используемую в технологическом процессе</v>
      </c>
      <c s="847" t="str">
        <f>IF(K25=0,"",K25)</f>
        <v/>
      </c>
      <c s="960" t="s">
        <v>310</v>
      </c>
      <c s="960" t="s">
        <v>307</v>
      </c>
      <c s="960" t="s">
        <v>736</v>
      </c>
      <c s="960" t="s">
        <v>307</v>
      </c>
      <c s="960"/>
      <c s="967" t="s">
        <v>2059</v>
      </c>
      <c s="849" t="s">
        <v>2059</v>
      </c>
      <c s="849" t="s">
        <v>2059</v>
      </c>
      <c s="849" t="s">
        <v>2059</v>
      </c>
      <c s="846"/>
      <c s="1003"/>
      <c s="849"/>
      <c s="852"/>
      <c s="849"/>
      <c s="849"/>
      <c s="849"/>
    </row>
    <row r="26" spans="1:30" ht="18" customHeight="1">
      <c r="A26" s="848"/>
      <c s="902">
        <v>9</v>
      </c>
      <c s="846" t="s">
        <v>652</v>
      </c>
      <c s="970"/>
      <c s="846"/>
      <c s="846"/>
      <c s="894"/>
      <c s="961"/>
      <c s="1008" t="str">
        <f>INDEX(TEMPLATE_NUMBER_POINT_FHD,B26,MATCH(TEMPLATE_SPHERE,TEMPLATE_SPHERE_LIST_FOR_NOTE,0))</f>
        <v>2.2.1</v>
      </c>
      <c s="1008" t="str">
        <f>INDEX(TEMPLATE_DATA_POINT_FHD,B26,MATCH(TEMPLATE_SPHERE,TEMPLATE_SPHERE_LIST_FOR_NOTE,0))</f>
        <v>Средневзвешенная стоимость 1 кВт.ч (с учетом мощности)</v>
      </c>
      <c s="1008">
        <f>INDEX(TEMPLATE_NOTE_POINT_FHD,B26,MATCH(TEMPLATE_SPHERE,TEMPLATE_SPHERE_LIST_FOR_NOTE,0))</f>
        <v>0</v>
      </c>
      <c s="847" t="str">
        <f>IF(I26=0,"",I26)</f>
        <v>2.2.1</v>
      </c>
      <c s="847" t="str">
        <f>IF(J26=0,"",J26)</f>
        <v>Средневзвешенная стоимость 1 кВт.ч (с учетом мощности)</v>
      </c>
      <c s="847" t="str">
        <f>IF(K26=0,"",K26)</f>
        <v/>
      </c>
      <c s="960" t="s">
        <v>725</v>
      </c>
      <c s="960" t="s">
        <v>719</v>
      </c>
      <c s="960" t="s">
        <v>2060</v>
      </c>
      <c s="960" t="s">
        <v>719</v>
      </c>
      <c s="960"/>
      <c s="967" t="str">
        <f>"Средневзвешенная стоимость 1 кВт.ч"&amp;IF(TITLE_TYPE_ORG="Регулируемая организация"," (с учетом мощности)","")</f>
        <v>Средневзвешенная стоимость 1 кВт.ч</v>
      </c>
      <c s="967" t="s">
        <v>2061</v>
      </c>
      <c s="967" t="s">
        <v>2061</v>
      </c>
      <c s="967" t="s">
        <v>2061</v>
      </c>
      <c s="846"/>
      <c s="1003"/>
      <c s="849"/>
      <c s="852"/>
      <c s="849"/>
      <c s="849"/>
      <c s="849"/>
    </row>
    <row r="27" spans="1:30" ht="18" customHeight="1">
      <c r="A27" s="848"/>
      <c s="902">
        <v>10</v>
      </c>
      <c s="846" t="s">
        <v>656</v>
      </c>
      <c s="970"/>
      <c s="846"/>
      <c s="846"/>
      <c s="894"/>
      <c s="961"/>
      <c s="1008" t="str">
        <f>INDEX(TEMPLATE_NUMBER_POINT_FHD,B27,MATCH(TEMPLATE_SPHERE,TEMPLATE_SPHERE_LIST_FOR_NOTE,0))</f>
        <v>2.2.2</v>
      </c>
      <c s="1008" t="str">
        <f>INDEX(TEMPLATE_DATA_POINT_FHD,B27,MATCH(TEMPLATE_SPHERE,TEMPLATE_SPHERE_LIST_FOR_NOTE,0))</f>
        <v>Объём приобретения электрической энергии</v>
      </c>
      <c s="1008">
        <f>INDEX(TEMPLATE_NOTE_POINT_FHD,B27,MATCH(TEMPLATE_SPHERE,TEMPLATE_SPHERE_LIST_FOR_NOTE,0))</f>
        <v>0</v>
      </c>
      <c s="847" t="str">
        <f>IF(I27=0,"",I27)</f>
        <v>2.2.2</v>
      </c>
      <c s="847" t="str">
        <f>IF(J27=0,"",J27)</f>
        <v>Объём приобретения электрической энергии</v>
      </c>
      <c s="847" t="str">
        <f>IF(K27=0,"",K27)</f>
        <v/>
      </c>
      <c s="960" t="s">
        <v>727</v>
      </c>
      <c s="960" t="s">
        <v>721</v>
      </c>
      <c s="960" t="s">
        <v>2062</v>
      </c>
      <c s="960" t="s">
        <v>721</v>
      </c>
      <c s="960"/>
      <c s="967" t="s">
        <v>2063</v>
      </c>
      <c s="967" t="s">
        <v>2063</v>
      </c>
      <c s="967" t="s">
        <v>2063</v>
      </c>
      <c s="967" t="s">
        <v>2063</v>
      </c>
      <c s="846"/>
      <c s="1003"/>
      <c s="849"/>
      <c s="852"/>
      <c s="849"/>
      <c s="849"/>
      <c s="849"/>
    </row>
    <row r="28" spans="1:30" ht="27" customHeight="1">
      <c r="A28" s="848"/>
      <c s="902">
        <v>11</v>
      </c>
      <c s="846">
        <v>7</v>
      </c>
      <c s="970"/>
      <c s="846"/>
      <c s="846"/>
      <c s="894"/>
      <c s="961"/>
      <c s="1008">
        <f>INDEX(TEMPLATE_NUMBER_POINT_FHD,B28,MATCH(TEMPLATE_SPHERE,TEMPLATE_SPHERE_LIST_FOR_NOTE,0))</f>
        <v>0</v>
      </c>
      <c s="1008">
        <f>INDEX(TEMPLATE_DATA_POINT_FHD,B28,MATCH(TEMPLATE_SPHERE,TEMPLATE_SPHERE_LIST_FOR_NOTE,0))</f>
        <v>0</v>
      </c>
      <c s="1008">
        <f>INDEX(TEMPLATE_NOTE_POINT_FHD,B28,MATCH(TEMPLATE_SPHERE,TEMPLATE_SPHERE_LIST_FOR_NOTE,0))</f>
        <v>0</v>
      </c>
      <c s="847" t="str">
        <f>IF(I28=0,"",I28)</f>
        <v/>
      </c>
      <c s="847" t="str">
        <f>IF(J28=0,"",J28)</f>
        <v/>
      </c>
      <c s="847" t="str">
        <f>IF(K28=0,"",K28)</f>
        <v/>
      </c>
      <c s="960" t="s">
        <v>729</v>
      </c>
      <c s="960"/>
      <c s="960"/>
      <c s="960"/>
      <c s="960"/>
      <c s="967" t="s">
        <v>2064</v>
      </c>
      <c s="849"/>
      <c s="849"/>
      <c s="849"/>
      <c s="846"/>
      <c s="1003"/>
      <c s="849"/>
      <c s="852"/>
      <c s="849"/>
      <c s="849"/>
      <c s="849"/>
    </row>
    <row r="29" spans="1:30" ht="27" customHeight="1">
      <c r="A29" s="848"/>
      <c s="902">
        <v>12</v>
      </c>
      <c s="846">
        <v>8</v>
      </c>
      <c s="970"/>
      <c s="846"/>
      <c s="846"/>
      <c s="894"/>
      <c s="961"/>
      <c s="1008" t="str">
        <f>INDEX(TEMPLATE_NUMBER_POINT_FHD,B29,MATCH(TEMPLATE_SPHERE,TEMPLATE_SPHERE_LIST_FOR_NOTE,0))</f>
        <v>2.3</v>
      </c>
      <c s="1008" t="str">
        <f>INDEX(TEMPLATE_DATA_POINT_FHD,B29,MATCH(TEMPLATE_SPHERE,TEMPLATE_SPHERE_LIST_FOR_NOTE,0))</f>
        <v>Расходы на химические реагенты, используемые в технологическом процессе</v>
      </c>
      <c s="1008">
        <f>INDEX(TEMPLATE_NOTE_POINT_FHD,B29,MATCH(TEMPLATE_SPHERE,TEMPLATE_SPHERE_LIST_FOR_NOTE,0))</f>
        <v>0</v>
      </c>
      <c s="847" t="str">
        <f>IF(I29=0,"",I29)</f>
        <v>2.3</v>
      </c>
      <c s="847" t="str">
        <f>IF(J29=0,"",J29)</f>
        <v>Расходы на химические реагенты, используемые в технологическом процессе</v>
      </c>
      <c s="847" t="str">
        <f>IF(K29=0,"",K29)</f>
        <v/>
      </c>
      <c s="960" t="s">
        <v>736</v>
      </c>
      <c s="960" t="s">
        <v>310</v>
      </c>
      <c s="960"/>
      <c s="960" t="s">
        <v>310</v>
      </c>
      <c s="960"/>
      <c s="967" t="str">
        <f>"Расходы на  хим"&amp;IF(TITLE_TYPE_ORG="Регулируемая организация","ические",".")&amp;" реагенты, используемые в технологическом процессе"</f>
        <v>Расходы на  хим. реагенты, используемые в технологическом процессе</v>
      </c>
      <c s="849" t="s">
        <v>2065</v>
      </c>
      <c s="849"/>
      <c s="849" t="s">
        <v>2065</v>
      </c>
      <c s="846"/>
      <c s="1003"/>
      <c s="849"/>
      <c s="852"/>
      <c s="849"/>
      <c s="849"/>
      <c s="849"/>
    </row>
    <row r="30" spans="1:30" ht="54" customHeight="1">
      <c r="A30" s="848"/>
      <c s="902">
        <v>13</v>
      </c>
      <c s="846">
        <v>9</v>
      </c>
      <c s="970"/>
      <c s="846"/>
      <c s="846"/>
      <c s="894"/>
      <c s="961"/>
      <c s="1008" t="str">
        <f>INDEX(TEMPLATE_NUMBER_POINT_FHD,B30,MATCH(TEMPLATE_SPHERE,TEMPLATE_SPHERE_LIST_FOR_NOTE,0))</f>
        <v>2.4</v>
      </c>
      <c s="1008" t="str">
        <f>INDEX(TEMPLATE_DATA_POINT_FHD,B30,MATCH(TEMPLATE_SPHERE,TEMPLATE_SPHERE_LIST_FOR_NOTE,0))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s="1008" t="str">
        <f>INDEX(TEMPLATE_NOTE_POINT_FHD,B30,MATCH(TEMPLATE_SPHERE,TEMPLATE_SPHERE_LIST_FOR_NOTE,0))</f>
        <v>Указывается общая сумма расходов на оплату труда и отчислений на социальные нужды основного производственного персонала.</v>
      </c>
      <c s="847" t="str">
        <f>IF(I30=0,"",I30)</f>
        <v>2.4</v>
      </c>
      <c s="847" t="str">
        <f>IF(J30=0,"",J30)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s="847" t="str">
        <f>IF(K30=0,"",K30)</f>
        <v>Указывается общая сумма расходов на оплату труда и отчислений на социальные нужды основного производственного персонала.</v>
      </c>
      <c s="960" t="s">
        <v>738</v>
      </c>
      <c s="960" t="s">
        <v>729</v>
      </c>
      <c s="960" t="s">
        <v>738</v>
      </c>
      <c s="960" t="s">
        <v>729</v>
      </c>
      <c s="960"/>
      <c s="967" t="s">
        <v>2066</v>
      </c>
      <c s="849" t="s">
        <v>2066</v>
      </c>
      <c s="849" t="s">
        <v>2066</v>
      </c>
      <c s="849" t="s">
        <v>2066</v>
      </c>
      <c s="846"/>
      <c s="1003"/>
      <c s="849"/>
      <c s="852" t="s">
        <v>2067</v>
      </c>
      <c s="852" t="s">
        <v>2067</v>
      </c>
      <c s="852" t="s">
        <v>2067</v>
      </c>
      <c s="849"/>
    </row>
    <row r="31" spans="1:30" ht="18" customHeight="1">
      <c r="A31" s="848"/>
      <c s="902">
        <v>14</v>
      </c>
      <c s="846" t="s">
        <v>2068</v>
      </c>
      <c s="970"/>
      <c s="846"/>
      <c s="846"/>
      <c s="894"/>
      <c s="961"/>
      <c s="1008" t="str">
        <f>INDEX(TEMPLATE_NUMBER_POINT_FHD,B31,MATCH(TEMPLATE_SPHERE,TEMPLATE_SPHERE_LIST_FOR_NOTE,0))</f>
        <v>2.4.1</v>
      </c>
      <c s="1008" t="str">
        <f>INDEX(TEMPLATE_DATA_POINT_FHD,B31,MATCH(TEMPLATE_SPHERE,TEMPLATE_SPHERE_LIST_FOR_NOTE,0))</f>
        <v>Расходы на оплату труда основного производственного персонала</v>
      </c>
      <c s="1008">
        <f>INDEX(TEMPLATE_NOTE_POINT_FHD,B31,MATCH(TEMPLATE_SPHERE,TEMPLATE_SPHERE_LIST_FOR_NOTE,0))</f>
        <v>0</v>
      </c>
      <c s="847" t="str">
        <f>IF(I31=0,"",I31)</f>
        <v>2.4.1</v>
      </c>
      <c s="847" t="str">
        <f>IF(J31=0,"",J31)</f>
        <v>Расходы на оплату труда основного производственного персонала</v>
      </c>
      <c s="847" t="str">
        <f>IF(K31=0,"",K31)</f>
        <v/>
      </c>
      <c s="960" t="s">
        <v>2069</v>
      </c>
      <c s="960" t="s">
        <v>732</v>
      </c>
      <c s="960" t="s">
        <v>2069</v>
      </c>
      <c s="960" t="s">
        <v>732</v>
      </c>
      <c s="960"/>
      <c s="968" t="s">
        <v>2070</v>
      </c>
      <c s="849" t="s">
        <v>2070</v>
      </c>
      <c s="849" t="s">
        <v>2070</v>
      </c>
      <c s="849" t="s">
        <v>2070</v>
      </c>
      <c s="846"/>
      <c s="1003"/>
      <c s="849"/>
      <c s="852"/>
      <c s="852"/>
      <c s="852"/>
      <c s="849"/>
    </row>
    <row r="32" spans="1:30" ht="36" customHeight="1">
      <c r="A32" s="848"/>
      <c s="902">
        <v>15</v>
      </c>
      <c s="846" t="s">
        <v>2071</v>
      </c>
      <c s="970"/>
      <c s="846"/>
      <c s="846"/>
      <c s="894"/>
      <c s="961"/>
      <c s="1008" t="str">
        <f>INDEX(TEMPLATE_NUMBER_POINT_FHD,B32,MATCH(TEMPLATE_SPHERE,TEMPLATE_SPHERE_LIST_FOR_NOTE,0))</f>
        <v>2.4.2</v>
      </c>
      <c s="1008" t="str">
        <f>INDEX(TEMPLATE_DATA_POINT_FHD,B32,MATCH(TEMPLATE_SPHERE,TEMPLATE_SPHERE_LIST_FOR_NOTE,0))</f>
        <v>Страховые взносы на обязательное социальное страхование, выплачиваемые из фонда оплаты труда основного производственного персонала</v>
      </c>
      <c s="1008">
        <f>INDEX(TEMPLATE_NOTE_POINT_FHD,B32,MATCH(TEMPLATE_SPHERE,TEMPLATE_SPHERE_LIST_FOR_NOTE,0))</f>
        <v>0</v>
      </c>
      <c s="847" t="str">
        <f>IF(I32=0,"",I32)</f>
        <v>2.4.2</v>
      </c>
      <c s="847" t="str">
        <f>IF(J32=0,"",J32)</f>
        <v>Страховые взносы на обязательное социальное страхование, выплачиваемые из фонда оплаты труда основного производственного персонала</v>
      </c>
      <c s="847" t="str">
        <f>IF(K32=0,"",K32)</f>
        <v/>
      </c>
      <c s="960" t="s">
        <v>2072</v>
      </c>
      <c s="960" t="s">
        <v>734</v>
      </c>
      <c s="960" t="s">
        <v>2072</v>
      </c>
      <c s="960" t="s">
        <v>734</v>
      </c>
      <c s="960"/>
      <c s="969" t="str">
        <f>IF(TITLE_TYPE_ORG="Регулируемая организация","С","Расходы на с")&amp;"траховые взносы на обязательное социальное страхование, выплачиваемые из фонда оплаты труда основного производственного персонала"</f>
        <v>Расходы на страховые взносы на обязательное социальное страхование, выплачиваемые из фонда оплаты труда основного производственного персонала</v>
      </c>
      <c s="849" t="s">
        <v>2073</v>
      </c>
      <c s="849" t="s">
        <v>2073</v>
      </c>
      <c s="849" t="s">
        <v>2073</v>
      </c>
      <c s="846"/>
      <c s="1003"/>
      <c s="849"/>
      <c s="852"/>
      <c s="852"/>
      <c s="852"/>
      <c s="849"/>
    </row>
    <row r="33" spans="1:30" ht="45" customHeight="1">
      <c r="A33" s="848"/>
      <c s="902">
        <v>16</v>
      </c>
      <c s="846">
        <v>10</v>
      </c>
      <c s="970"/>
      <c s="846"/>
      <c s="846"/>
      <c s="894"/>
      <c s="961"/>
      <c s="1008" t="str">
        <f>INDEX(TEMPLATE_NUMBER_POINT_FHD,B33,MATCH(TEMPLATE_SPHERE,TEMPLATE_SPHERE_LIST_FOR_NOTE,0))</f>
        <v>2.5</v>
      </c>
      <c s="1008" t="str">
        <f>INDEX(TEMPLATE_DATA_POINT_FHD,B33,MATCH(TEMPLATE_SPHERE,TEMPLATE_SPHERE_LIST_FOR_NOTE,0))</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v>
      </c>
      <c s="1008" t="str">
        <f>INDEX(TEMPLATE_NOTE_POINT_FHD,B33,MATCH(TEMPLATE_SPHERE,TEMPLATE_SPHERE_LIST_FOR_NOTE,0))</f>
        <v>Указывается общая сумма расходов на оплату труда и отчислений на социальные нужды административно-управленческого персонала.</v>
      </c>
      <c s="847" t="str">
        <f>IF(I33=0,"",I33)</f>
        <v>2.5</v>
      </c>
      <c s="847" t="str">
        <f>IF(J33=0,"",J33)</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v>
      </c>
      <c s="847" t="str">
        <f>IF(K33=0,"",K33)</f>
        <v>Указывается общая сумма расходов на оплату труда и отчислений на социальные нужды административно-управленческого персонала.</v>
      </c>
      <c s="960" t="s">
        <v>740</v>
      </c>
      <c s="960" t="s">
        <v>736</v>
      </c>
      <c s="960" t="s">
        <v>740</v>
      </c>
      <c s="960" t="s">
        <v>736</v>
      </c>
      <c s="960"/>
      <c s="968" t="str">
        <f>"Расходы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персонала"&amp;IF(TITLE_TYPE_ORG="Регулируемая организация",", в том числе","")&amp;":"</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v>
      </c>
      <c s="849" t="s">
        <v>2074</v>
      </c>
      <c s="849" t="s">
        <v>2074</v>
      </c>
      <c s="849" t="s">
        <v>2075</v>
      </c>
      <c s="846"/>
      <c s="1003"/>
      <c s="849"/>
      <c s="852" t="s">
        <v>2076</v>
      </c>
      <c s="852" t="s">
        <v>2076</v>
      </c>
      <c s="852" t="s">
        <v>2076</v>
      </c>
      <c s="849"/>
    </row>
    <row r="34" spans="1:30" ht="27" customHeight="1">
      <c r="A34" s="848"/>
      <c s="902">
        <v>17</v>
      </c>
      <c s="846" t="s">
        <v>2077</v>
      </c>
      <c s="970"/>
      <c s="846"/>
      <c s="846"/>
      <c s="894"/>
      <c s="961"/>
      <c s="1008" t="str">
        <f>INDEX(TEMPLATE_NUMBER_POINT_FHD,B34,MATCH(TEMPLATE_SPHERE,TEMPLATE_SPHERE_LIST_FOR_NOTE,0))</f>
        <v>2.5.1</v>
      </c>
      <c s="1008" t="str">
        <f>INDEX(TEMPLATE_DATA_POINT_FHD,B34,MATCH(TEMPLATE_SPHERE,TEMPLATE_SPHERE_LIST_FOR_NOTE,0))</f>
        <v>Расходы на оплату труда административно-управленческого персонала, в том числе:</v>
      </c>
      <c s="1008">
        <f>INDEX(TEMPLATE_NOTE_POINT_FHD,B34,MATCH(TEMPLATE_SPHERE,TEMPLATE_SPHERE_LIST_FOR_NOTE,0))</f>
        <v>0</v>
      </c>
      <c s="847" t="str">
        <f>IF(I34=0,"",I34)</f>
        <v>2.5.1</v>
      </c>
      <c s="847" t="str">
        <f>IF(J34=0,"",J34)</f>
        <v>Расходы на оплату труда административно-управленческого персонала, в том числе:</v>
      </c>
      <c s="847" t="str">
        <f>IF(K34=0,"",K34)</f>
        <v/>
      </c>
      <c s="960" t="s">
        <v>2078</v>
      </c>
      <c s="960" t="s">
        <v>2060</v>
      </c>
      <c s="960" t="s">
        <v>2078</v>
      </c>
      <c s="960" t="s">
        <v>2060</v>
      </c>
      <c s="960"/>
      <c s="969" t="s">
        <v>2079</v>
      </c>
      <c s="849" t="s">
        <v>2079</v>
      </c>
      <c s="849" t="s">
        <v>2079</v>
      </c>
      <c s="849" t="s">
        <v>2080</v>
      </c>
      <c s="846"/>
      <c s="1003"/>
      <c s="849"/>
      <c s="852"/>
      <c s="849"/>
      <c s="849"/>
      <c s="849"/>
    </row>
    <row r="35" spans="1:30" ht="45" customHeight="1">
      <c r="A35" s="848"/>
      <c s="902">
        <v>18</v>
      </c>
      <c s="846" t="s">
        <v>2081</v>
      </c>
      <c s="970"/>
      <c s="846"/>
      <c s="846"/>
      <c s="894"/>
      <c s="961"/>
      <c s="1008" t="str">
        <f>INDEX(TEMPLATE_NUMBER_POINT_FHD,B35,MATCH(TEMPLATE_SPHERE,TEMPLATE_SPHERE_LIST_FOR_NOTE,0))</f>
        <v>2.5.2</v>
      </c>
      <c s="1008" t="str">
        <f>INDEX(TEMPLATE_DATA_POINT_FHD,B35,MATCH(TEMPLATE_SPHERE,TEMPLATE_SPHERE_LIST_FOR_NOTE,0))</f>
        <v>Страховые взносы на обязательное социальное страхование, выплачиваемые из фонда оплаты труда административно-управленческого персонала</v>
      </c>
      <c s="1008">
        <f>INDEX(TEMPLATE_NOTE_POINT_FHD,B35,MATCH(TEMPLATE_SPHERE,TEMPLATE_SPHERE_LIST_FOR_NOTE,0))</f>
        <v>0</v>
      </c>
      <c s="847" t="str">
        <f>IF(I35=0,"",I35)</f>
        <v>2.5.2</v>
      </c>
      <c s="847" t="str">
        <f>IF(J35=0,"",J35)</f>
        <v>Страховые взносы на обязательное социальное страхование, выплачиваемые из фонда оплаты труда административно-управленческого персонала</v>
      </c>
      <c s="847" t="str">
        <f>IF(K35=0,"",K35)</f>
        <v/>
      </c>
      <c s="960" t="s">
        <v>2082</v>
      </c>
      <c s="960" t="s">
        <v>2062</v>
      </c>
      <c s="960" t="s">
        <v>2082</v>
      </c>
      <c s="960" t="s">
        <v>2062</v>
      </c>
      <c s="960"/>
      <c s="967" t="str">
        <f>IF(TITLE_TYPE_ORG="Регулируемая организация","С","Расходы на с")&amp;"траховые взносы на обязательное социальное страхование, выплачиваемые из фонда оплаты труда административно-управленческого персонала"</f>
        <v>Расходы на страховые взносы на обязательное социальное страхование, выплачиваемые из фонда оплаты труда административно-управленческого персонала</v>
      </c>
      <c s="849" t="s">
        <v>2083</v>
      </c>
      <c s="849" t="s">
        <v>2083</v>
      </c>
      <c s="849" t="s">
        <v>2083</v>
      </c>
      <c s="846"/>
      <c s="1003"/>
      <c s="849"/>
      <c s="852"/>
      <c s="849"/>
      <c s="849"/>
      <c s="849"/>
    </row>
    <row r="36" spans="1:30" ht="18" customHeight="1">
      <c r="A36" s="848"/>
      <c s="902">
        <v>19</v>
      </c>
      <c s="846">
        <v>11</v>
      </c>
      <c s="970"/>
      <c s="846"/>
      <c s="846"/>
      <c s="894"/>
      <c s="961"/>
      <c s="1008" t="str">
        <f>INDEX(TEMPLATE_NUMBER_POINT_FHD,B36,MATCH(TEMPLATE_SPHERE,TEMPLATE_SPHERE_LIST_FOR_NOTE,0))</f>
        <v>2.6</v>
      </c>
      <c s="1008" t="str">
        <f>INDEX(TEMPLATE_DATA_POINT_FHD,B36,MATCH(TEMPLATE_SPHERE,TEMPLATE_SPHERE_LIST_FOR_NOTE,0))</f>
        <v>Расходы на амортизацию основных средств и нематериальных активов</v>
      </c>
      <c s="1008">
        <f>INDEX(TEMPLATE_NOTE_POINT_FHD,B36,MATCH(TEMPLATE_SPHERE,TEMPLATE_SPHERE_LIST_FOR_NOTE,0))</f>
        <v>0</v>
      </c>
      <c s="847" t="str">
        <f>IF(I36=0,"",I36)</f>
        <v>2.6</v>
      </c>
      <c s="847" t="str">
        <f>IF(J36=0,"",J36)</f>
        <v>Расходы на амортизацию основных средств и нематериальных активов</v>
      </c>
      <c s="847" t="str">
        <f>IF(K36=0,"",K36)</f>
        <v/>
      </c>
      <c s="960" t="s">
        <v>742</v>
      </c>
      <c s="960" t="s">
        <v>738</v>
      </c>
      <c s="960" t="s">
        <v>742</v>
      </c>
      <c s="960" t="s">
        <v>738</v>
      </c>
      <c s="960"/>
      <c s="967" t="s">
        <v>2084</v>
      </c>
      <c s="849" t="s">
        <v>2084</v>
      </c>
      <c s="849" t="s">
        <v>2084</v>
      </c>
      <c s="849" t="s">
        <v>2084</v>
      </c>
      <c s="846"/>
      <c s="1003"/>
      <c s="849"/>
      <c s="852"/>
      <c s="849"/>
      <c s="849"/>
      <c s="849"/>
    </row>
    <row r="37" spans="1:30" ht="18" customHeight="1">
      <c r="A37" s="848"/>
      <c s="902">
        <v>20</v>
      </c>
      <c s="846" t="s">
        <v>2085</v>
      </c>
      <c s="970"/>
      <c s="846"/>
      <c s="846"/>
      <c s="894"/>
      <c s="961"/>
      <c s="1008" t="str">
        <f>INDEX(TEMPLATE_NUMBER_POINT_FHD,B37,MATCH(TEMPLATE_SPHERE,TEMPLATE_SPHERE_LIST_FOR_NOTE,0))</f>
        <v>2.6.1</v>
      </c>
      <c s="1008" t="str">
        <f>INDEX(TEMPLATE_DATA_POINT_FHD,B37,MATCH(TEMPLATE_SPHERE,TEMPLATE_SPHERE_LIST_FOR_NOTE,0))</f>
        <v>Расходы на амортизацию основных средств</v>
      </c>
      <c s="1008">
        <f>INDEX(TEMPLATE_NOTE_POINT_FHD,B37,MATCH(TEMPLATE_SPHERE,TEMPLATE_SPHERE_LIST_FOR_NOTE,0))</f>
        <v>0</v>
      </c>
      <c s="847" t="str">
        <f>IF(I37=0,"",I37)</f>
        <v>2.6.1</v>
      </c>
      <c s="847" t="str">
        <f>IF(J37=0,"",J37)</f>
        <v>Расходы на амортизацию основных средств</v>
      </c>
      <c s="847" t="str">
        <f>IF(K37=0,"",K37)</f>
        <v/>
      </c>
      <c s="960" t="s">
        <v>2086</v>
      </c>
      <c s="960" t="s">
        <v>2069</v>
      </c>
      <c s="960" t="s">
        <v>2086</v>
      </c>
      <c s="960" t="s">
        <v>2069</v>
      </c>
      <c s="960"/>
      <c s="967" t="s">
        <v>2087</v>
      </c>
      <c s="849" t="s">
        <v>2087</v>
      </c>
      <c s="849" t="s">
        <v>2087</v>
      </c>
      <c s="849" t="s">
        <v>2087</v>
      </c>
      <c s="846"/>
      <c s="1003"/>
      <c s="849"/>
      <c s="852"/>
      <c s="849"/>
      <c s="849"/>
      <c s="849"/>
    </row>
    <row r="38" spans="1:30" ht="18" customHeight="1">
      <c r="A38" s="848"/>
      <c s="902">
        <v>21</v>
      </c>
      <c s="846" t="s">
        <v>2088</v>
      </c>
      <c s="970"/>
      <c s="846"/>
      <c s="846"/>
      <c s="894"/>
      <c s="961"/>
      <c s="1008" t="str">
        <f>INDEX(TEMPLATE_NUMBER_POINT_FHD,B38,MATCH(TEMPLATE_SPHERE,TEMPLATE_SPHERE_LIST_FOR_NOTE,0))</f>
        <v>2.6.2</v>
      </c>
      <c s="1008" t="str">
        <f>INDEX(TEMPLATE_DATA_POINT_FHD,B38,MATCH(TEMPLATE_SPHERE,TEMPLATE_SPHERE_LIST_FOR_NOTE,0))</f>
        <v>Расходы на амортизацию нематериальных активов</v>
      </c>
      <c s="1008">
        <f>INDEX(TEMPLATE_NOTE_POINT_FHD,B38,MATCH(TEMPLATE_SPHERE,TEMPLATE_SPHERE_LIST_FOR_NOTE,0))</f>
        <v>0</v>
      </c>
      <c s="847" t="str">
        <f>IF(I38=0,"",I38)</f>
        <v>2.6.2</v>
      </c>
      <c s="847" t="str">
        <f>IF(J38=0,"",J38)</f>
        <v>Расходы на амортизацию нематериальных активов</v>
      </c>
      <c s="847" t="str">
        <f>IF(K38=0,"",K38)</f>
        <v/>
      </c>
      <c s="960" t="s">
        <v>2089</v>
      </c>
      <c s="960" t="s">
        <v>2072</v>
      </c>
      <c s="960" t="s">
        <v>2089</v>
      </c>
      <c s="960" t="s">
        <v>2072</v>
      </c>
      <c s="960"/>
      <c s="967" t="s">
        <v>2090</v>
      </c>
      <c s="849" t="s">
        <v>2090</v>
      </c>
      <c s="849" t="s">
        <v>2090</v>
      </c>
      <c s="849" t="s">
        <v>2090</v>
      </c>
      <c s="846"/>
      <c s="1003"/>
      <c s="849"/>
      <c s="852"/>
      <c s="849"/>
      <c s="849"/>
      <c s="849"/>
    </row>
    <row r="39" spans="1:30" ht="36" customHeight="1">
      <c r="A39" s="848"/>
      <c s="902">
        <v>22</v>
      </c>
      <c s="846">
        <v>12</v>
      </c>
      <c s="970"/>
      <c s="846"/>
      <c s="846"/>
      <c s="894"/>
      <c s="961"/>
      <c s="1008" t="str">
        <f>INDEX(TEMPLATE_NUMBER_POINT_FHD,B39,MATCH(TEMPLATE_SPHERE,TEMPLATE_SPHERE_LIST_FOR_NOTE,0))</f>
        <v>2.7</v>
      </c>
      <c s="1008" t="str">
        <f>INDEX(TEMPLATE_DATA_POINT_FHD,B39,MATCH(TEMPLATE_SPHERE,TEMPLATE_SPHERE_LIST_FOR_NOTE,0))</f>
        <v>Расходы на аренду имущества, используемого для осуществления регулируемых видов деятельности в сфере водоотведения</v>
      </c>
      <c s="1008">
        <f>INDEX(TEMPLATE_NOTE_POINT_FHD,B39,MATCH(TEMPLATE_SPHERE,TEMPLATE_SPHERE_LIST_FOR_NOTE,0))</f>
        <v>0</v>
      </c>
      <c s="847" t="str">
        <f>IF(I39=0,"",I39)</f>
        <v>2.7</v>
      </c>
      <c s="847" t="str">
        <f>IF(J39=0,"",J39)</f>
        <v>Расходы на аренду имущества, используемого для осуществления регулируемых видов деятельности в сфере водоотведения</v>
      </c>
      <c s="847" t="str">
        <f>IF(K39=0,"",K39)</f>
        <v/>
      </c>
      <c s="960" t="s">
        <v>746</v>
      </c>
      <c s="960" t="s">
        <v>740</v>
      </c>
      <c s="960" t="s">
        <v>746</v>
      </c>
      <c s="960" t="s">
        <v>740</v>
      </c>
      <c s="960"/>
      <c s="967" t="s">
        <v>2091</v>
      </c>
      <c s="849" t="s">
        <v>2092</v>
      </c>
      <c s="849" t="s">
        <v>2093</v>
      </c>
      <c s="849" t="s">
        <v>2094</v>
      </c>
      <c s="846"/>
      <c s="1003"/>
      <c s="849"/>
      <c s="852"/>
      <c s="849"/>
      <c s="849"/>
      <c s="849"/>
    </row>
    <row r="40" spans="1:30" ht="18" customHeight="1">
      <c r="A40" s="848"/>
      <c s="902">
        <v>23</v>
      </c>
      <c s="846">
        <v>13</v>
      </c>
      <c s="970"/>
      <c s="846"/>
      <c s="846"/>
      <c s="846"/>
      <c s="897"/>
      <c s="1008" t="str">
        <f>INDEX(TEMPLATE_NUMBER_POINT_FHD,B40,MATCH(TEMPLATE_SPHERE,TEMPLATE_SPHERE_LIST_FOR_NOTE,0))</f>
        <v>2.8</v>
      </c>
      <c s="1008" t="str">
        <f>INDEX(TEMPLATE_DATA_POINT_FHD,B40,MATCH(TEMPLATE_SPHERE,TEMPLATE_SPHERE_LIST_FOR_NOTE,0))</f>
        <v>Общепроизводственные расходы, в том числе:</v>
      </c>
      <c s="1008" t="str">
        <f>INDEX(TEMPLATE_NOTE_POINT_FHD,B40,MATCH(TEMPLATE_SPHERE,TEMPLATE_SPHERE_LIST_FOR_NOTE,0))</f>
        <v>Указывается общая сумма общепроизводственных расходов.</v>
      </c>
      <c s="847" t="str">
        <f>IF(I40=0,"",I40)</f>
        <v>2.8</v>
      </c>
      <c s="847" t="str">
        <f>IF(J40=0,"",J40)</f>
        <v>Общепроизводственные расходы, в том числе:</v>
      </c>
      <c s="847" t="str">
        <f>IF(K40=0,"",K40)</f>
        <v>Указывается общая сумма общепроизводственных расходов.</v>
      </c>
      <c s="960" t="s">
        <v>2095</v>
      </c>
      <c s="960" t="s">
        <v>742</v>
      </c>
      <c s="960" t="s">
        <v>2095</v>
      </c>
      <c s="960" t="s">
        <v>742</v>
      </c>
      <c s="960"/>
      <c s="846" t="s">
        <v>2096</v>
      </c>
      <c s="846" t="s">
        <v>2096</v>
      </c>
      <c s="846" t="s">
        <v>2096</v>
      </c>
      <c s="846" t="s">
        <v>2096</v>
      </c>
      <c s="846"/>
      <c s="1003"/>
      <c s="849" t="s">
        <v>2097</v>
      </c>
      <c s="852" t="s">
        <v>2097</v>
      </c>
      <c s="852" t="s">
        <v>2097</v>
      </c>
      <c s="852" t="s">
        <v>2097</v>
      </c>
      <c s="849"/>
    </row>
    <row r="41" spans="1:30" ht="27" customHeight="1">
      <c r="A41" s="848"/>
      <c s="902">
        <v>24</v>
      </c>
      <c s="846" t="s">
        <v>2098</v>
      </c>
      <c s="970"/>
      <c s="846"/>
      <c s="846"/>
      <c s="846"/>
      <c s="894"/>
      <c s="1008" t="str">
        <f>INDEX(TEMPLATE_NUMBER_POINT_FHD,B41,MATCH(TEMPLATE_SPHERE,TEMPLATE_SPHERE_LIST_FOR_NOTE,0))</f>
        <v>2.8.1</v>
      </c>
      <c s="1008" t="str">
        <f>INDEX(TEMPLATE_DATA_POINT_FHD,B41,MATCH(TEMPLATE_SPHERE,TEMPLATE_SPHERE_LIST_FOR_NOTE,0))</f>
        <v>Расходы на текущий ремонт</v>
      </c>
      <c s="1008" t="str">
        <f>INDEX(TEMPLATE_NOTE_POINT_FHD,B41,MATCH(TEMPLATE_SPHERE,TEMPLATE_SPHERE_LIST_FOR_NOTE,0))</f>
        <v>Указываются расходы на текущий ремонт, отнесенные к общепроизводственным расходам.</v>
      </c>
      <c s="847" t="str">
        <f>IF(I41=0,"",I41)</f>
        <v>2.8.1</v>
      </c>
      <c s="847" t="str">
        <f>IF(J41=0,"",J41)</f>
        <v>Расходы на текущий ремонт</v>
      </c>
      <c s="847" t="str">
        <f>IF(K41=0,"",K41)</f>
        <v>Указываются расходы на текущий ремонт, отнесенные к общепроизводственным расходам.</v>
      </c>
      <c s="960" t="s">
        <v>2099</v>
      </c>
      <c s="960" t="s">
        <v>2086</v>
      </c>
      <c s="960" t="s">
        <v>2099</v>
      </c>
      <c s="960" t="s">
        <v>2086</v>
      </c>
      <c s="960"/>
      <c s="846" t="s">
        <v>2100</v>
      </c>
      <c s="846" t="s">
        <v>2100</v>
      </c>
      <c s="846" t="s">
        <v>2100</v>
      </c>
      <c s="846" t="s">
        <v>2100</v>
      </c>
      <c s="846"/>
      <c s="1003"/>
      <c s="849" t="s">
        <v>2101</v>
      </c>
      <c s="849" t="s">
        <v>2101</v>
      </c>
      <c s="849" t="s">
        <v>2101</v>
      </c>
      <c s="849" t="s">
        <v>2101</v>
      </c>
      <c s="849"/>
    </row>
    <row r="42" spans="1:30" ht="27" customHeight="1">
      <c r="A42" s="848"/>
      <c s="902">
        <v>25</v>
      </c>
      <c s="846" t="s">
        <v>2102</v>
      </c>
      <c s="970"/>
      <c s="846"/>
      <c s="846"/>
      <c s="846"/>
      <c s="894"/>
      <c s="1008" t="str">
        <f>INDEX(TEMPLATE_NUMBER_POINT_FHD,B42,MATCH(TEMPLATE_SPHERE,TEMPLATE_SPHERE_LIST_FOR_NOTE,0))</f>
        <v>2.8.2</v>
      </c>
      <c s="1008" t="str">
        <f>INDEX(TEMPLATE_DATA_POINT_FHD,B42,MATCH(TEMPLATE_SPHERE,TEMPLATE_SPHERE_LIST_FOR_NOTE,0))</f>
        <v>Расходы на капитальный ремонт</v>
      </c>
      <c s="1008" t="str">
        <f>INDEX(TEMPLATE_NOTE_POINT_FHD,B42,MATCH(TEMPLATE_SPHERE,TEMPLATE_SPHERE_LIST_FOR_NOTE,0))</f>
        <v>Указываются расходы на капитальный ремонт, отнесенные к общепроизводственным расходам.</v>
      </c>
      <c s="847" t="str">
        <f>IF(I42=0,"",I42)</f>
        <v>2.8.2</v>
      </c>
      <c s="847" t="str">
        <f>IF(J42=0,"",J42)</f>
        <v>Расходы на капитальный ремонт</v>
      </c>
      <c s="847" t="str">
        <f>IF(K42=0,"",K42)</f>
        <v>Указываются расходы на капитальный ремонт, отнесенные к общепроизводственным расходам.</v>
      </c>
      <c s="960" t="s">
        <v>2103</v>
      </c>
      <c s="960" t="s">
        <v>2089</v>
      </c>
      <c s="960" t="s">
        <v>2103</v>
      </c>
      <c s="960" t="s">
        <v>2089</v>
      </c>
      <c s="960"/>
      <c s="846" t="s">
        <v>2104</v>
      </c>
      <c s="846" t="s">
        <v>2104</v>
      </c>
      <c s="846" t="s">
        <v>2104</v>
      </c>
      <c s="846" t="s">
        <v>2104</v>
      </c>
      <c s="846"/>
      <c s="1003"/>
      <c s="849" t="s">
        <v>2105</v>
      </c>
      <c s="849" t="s">
        <v>2105</v>
      </c>
      <c s="849" t="s">
        <v>2105</v>
      </c>
      <c s="849" t="s">
        <v>2105</v>
      </c>
      <c s="849"/>
    </row>
    <row r="43" spans="1:30" ht="18" customHeight="1">
      <c r="A43" s="848"/>
      <c s="902">
        <v>26</v>
      </c>
      <c s="846">
        <v>14</v>
      </c>
      <c s="970"/>
      <c s="846"/>
      <c s="846"/>
      <c s="846"/>
      <c s="894"/>
      <c s="1008" t="str">
        <f>INDEX(TEMPLATE_NUMBER_POINT_FHD,B43,MATCH(TEMPLATE_SPHERE,TEMPLATE_SPHERE_LIST_FOR_NOTE,0))</f>
        <v>2.9</v>
      </c>
      <c s="1008" t="str">
        <f>INDEX(TEMPLATE_DATA_POINT_FHD,B43,MATCH(TEMPLATE_SPHERE,TEMPLATE_SPHERE_LIST_FOR_NOTE,0))</f>
        <v>Общехозяйственные расходы, в том числе:</v>
      </c>
      <c s="1008" t="str">
        <f>INDEX(TEMPLATE_NOTE_POINT_FHD,B43,MATCH(TEMPLATE_SPHERE,TEMPLATE_SPHERE_LIST_FOR_NOTE,0))</f>
        <v>Указывается общая сумма общехозяйственных расходов.</v>
      </c>
      <c s="847" t="str">
        <f>IF(I43=0,"",I43)</f>
        <v>2.9</v>
      </c>
      <c s="847" t="str">
        <f>IF(J43=0,"",J43)</f>
        <v>Общехозяйственные расходы, в том числе:</v>
      </c>
      <c s="847" t="str">
        <f>IF(K43=0,"",K43)</f>
        <v>Указывается общая сумма общехозяйственных расходов.</v>
      </c>
      <c s="960" t="s">
        <v>2106</v>
      </c>
      <c s="960" t="s">
        <v>746</v>
      </c>
      <c s="960" t="s">
        <v>2106</v>
      </c>
      <c s="960" t="s">
        <v>746</v>
      </c>
      <c s="960"/>
      <c s="846" t="s">
        <v>2107</v>
      </c>
      <c s="846" t="s">
        <v>2107</v>
      </c>
      <c s="846" t="s">
        <v>2107</v>
      </c>
      <c s="846" t="s">
        <v>2107</v>
      </c>
      <c s="846"/>
      <c s="1003"/>
      <c s="849" t="s">
        <v>2108</v>
      </c>
      <c s="849" t="s">
        <v>2108</v>
      </c>
      <c s="849" t="s">
        <v>2108</v>
      </c>
      <c s="849" t="s">
        <v>2108</v>
      </c>
      <c s="849"/>
    </row>
    <row r="44" spans="1:30" ht="27" customHeight="1">
      <c r="A44" s="848"/>
      <c s="902">
        <v>27</v>
      </c>
      <c s="846" t="s">
        <v>2109</v>
      </c>
      <c s="970"/>
      <c s="846"/>
      <c s="846"/>
      <c s="846"/>
      <c s="894"/>
      <c s="1008" t="str">
        <f>INDEX(TEMPLATE_NUMBER_POINT_FHD,B44,MATCH(TEMPLATE_SPHERE,TEMPLATE_SPHERE_LIST_FOR_NOTE,0))</f>
        <v>2.9.1</v>
      </c>
      <c s="1008" t="str">
        <f>INDEX(TEMPLATE_DATA_POINT_FHD,B44,MATCH(TEMPLATE_SPHERE,TEMPLATE_SPHERE_LIST_FOR_NOTE,0))</f>
        <v>Расходы на текущий ремонт</v>
      </c>
      <c s="1008" t="str">
        <f>INDEX(TEMPLATE_NOTE_POINT_FHD,B44,MATCH(TEMPLATE_SPHERE,TEMPLATE_SPHERE_LIST_FOR_NOTE,0))</f>
        <v>Указываются расходы на текущий ремонт, отнесенные к общехозяйственным расходам.</v>
      </c>
      <c s="847" t="str">
        <f>IF(I44=0,"",I44)</f>
        <v>2.9.1</v>
      </c>
      <c s="847" t="str">
        <f>IF(J44=0,"",J44)</f>
        <v>Расходы на текущий ремонт</v>
      </c>
      <c s="847" t="str">
        <f>IF(K44=0,"",K44)</f>
        <v>Указываются расходы на текущий ремонт, отнесенные к общехозяйственным расходам.</v>
      </c>
      <c s="960" t="s">
        <v>2110</v>
      </c>
      <c s="960" t="s">
        <v>2111</v>
      </c>
      <c s="960" t="s">
        <v>2110</v>
      </c>
      <c s="960" t="s">
        <v>2111</v>
      </c>
      <c s="960"/>
      <c s="846" t="s">
        <v>2100</v>
      </c>
      <c s="846" t="s">
        <v>2100</v>
      </c>
      <c s="846" t="s">
        <v>2100</v>
      </c>
      <c s="846" t="s">
        <v>2100</v>
      </c>
      <c s="846"/>
      <c s="1003"/>
      <c s="849" t="s">
        <v>2112</v>
      </c>
      <c s="849" t="s">
        <v>2112</v>
      </c>
      <c s="849" t="s">
        <v>2112</v>
      </c>
      <c s="849" t="s">
        <v>2112</v>
      </c>
      <c s="849"/>
    </row>
    <row r="45" spans="1:30" ht="27" customHeight="1">
      <c r="A45" s="848"/>
      <c s="902">
        <v>28</v>
      </c>
      <c s="846" t="s">
        <v>2113</v>
      </c>
      <c s="970"/>
      <c s="846"/>
      <c s="846"/>
      <c s="846"/>
      <c s="894"/>
      <c s="1008" t="str">
        <f>INDEX(TEMPLATE_NUMBER_POINT_FHD,B45,MATCH(TEMPLATE_SPHERE,TEMPLATE_SPHERE_LIST_FOR_NOTE,0))</f>
        <v>2.9.2</v>
      </c>
      <c s="1008" t="str">
        <f>INDEX(TEMPLATE_DATA_POINT_FHD,B45,MATCH(TEMPLATE_SPHERE,TEMPLATE_SPHERE_LIST_FOR_NOTE,0))</f>
        <v>Расходы на капитальный ремонт</v>
      </c>
      <c s="1008" t="str">
        <f>INDEX(TEMPLATE_NOTE_POINT_FHD,B45,MATCH(TEMPLATE_SPHERE,TEMPLATE_SPHERE_LIST_FOR_NOTE,0))</f>
        <v>Указываются расходы на капитальный ремонт, отнесенные к общехозяйственным расходам.</v>
      </c>
      <c s="847" t="str">
        <f>IF(I45=0,"",I45)</f>
        <v>2.9.2</v>
      </c>
      <c s="847" t="str">
        <f>IF(J45=0,"",J45)</f>
        <v>Расходы на капитальный ремонт</v>
      </c>
      <c s="847" t="str">
        <f>IF(K45=0,"",K45)</f>
        <v>Указываются расходы на капитальный ремонт, отнесенные к общехозяйственным расходам.</v>
      </c>
      <c s="960" t="s">
        <v>2114</v>
      </c>
      <c s="960" t="s">
        <v>2115</v>
      </c>
      <c s="960" t="s">
        <v>2114</v>
      </c>
      <c s="960" t="s">
        <v>2115</v>
      </c>
      <c s="960"/>
      <c s="846" t="s">
        <v>2104</v>
      </c>
      <c s="846" t="s">
        <v>2104</v>
      </c>
      <c s="846" t="s">
        <v>2104</v>
      </c>
      <c s="846" t="s">
        <v>2104</v>
      </c>
      <c s="846"/>
      <c s="1003"/>
      <c s="849" t="s">
        <v>2116</v>
      </c>
      <c s="849" t="s">
        <v>2116</v>
      </c>
      <c s="849" t="s">
        <v>2116</v>
      </c>
      <c s="849" t="s">
        <v>2116</v>
      </c>
      <c s="849"/>
    </row>
    <row r="46" spans="1:30" ht="54" customHeight="1">
      <c r="A46" s="848"/>
      <c s="902">
        <v>29</v>
      </c>
      <c s="846">
        <v>15</v>
      </c>
      <c s="970"/>
      <c s="846"/>
      <c s="846"/>
      <c s="846"/>
      <c s="894"/>
      <c s="1008" t="str">
        <f>INDEX(TEMPLATE_NUMBER_POINT_FHD,B46,MATCH(TEMPLATE_SPHERE,TEMPLATE_SPHERE_LIST_FOR_NOTE,0))</f>
        <v>2.10</v>
      </c>
      <c s="1008" t="str">
        <f>INDEX(TEMPLATE_DATA_POINT_FHD,B46,MATCH(TEMPLATE_SPHERE,TEMPLATE_SPHERE_LIST_FOR_NOTE,0))</f>
        <v>Расходы на капитальный и текущий ремонт основных средств</v>
      </c>
      <c s="1008" t="str">
        <f>INDEX(TEMPLATE_NOTE_POINT_FHD,B46,MATCH(TEMPLATE_SPHERE,TEMPLATE_SPHERE_LIST_FOR_NOTE,0))</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s="847" t="str">
        <f>IF(I46=0,"",I46)</f>
        <v>2.10</v>
      </c>
      <c s="847" t="str">
        <f>IF(J46=0,"",J46)</f>
        <v>Расходы на капитальный и текущий ремонт основных средств</v>
      </c>
      <c s="847" t="str">
        <f>IF(K46=0,"",K46)</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s="960" t="s">
        <v>2117</v>
      </c>
      <c s="960" t="s">
        <v>2095</v>
      </c>
      <c s="960" t="s">
        <v>2117</v>
      </c>
      <c s="960" t="s">
        <v>2095</v>
      </c>
      <c s="960"/>
      <c s="847" t="str">
        <f>"Расходы на капитальный и текущий ремонт основных"&amp;IF(TITLE_TYPE_ORG="Регулируемая организация",""," производственных")&amp;" средств"</f>
        <v>Расходы на капитальный и текущий ремонт основных производственных средств</v>
      </c>
      <c s="846" t="s">
        <v>2118</v>
      </c>
      <c s="846" t="s">
        <v>2118</v>
      </c>
      <c s="846" t="s">
        <v>2118</v>
      </c>
      <c s="846"/>
      <c s="1003"/>
      <c s="849" t="s">
        <v>2119</v>
      </c>
      <c s="849" t="s">
        <v>2120</v>
      </c>
      <c s="849" t="s">
        <v>2120</v>
      </c>
      <c s="849" t="s">
        <v>2120</v>
      </c>
      <c s="849"/>
    </row>
    <row r="47" spans="1:30" ht="54" customHeight="1">
      <c r="A47" s="848"/>
      <c s="902">
        <v>30</v>
      </c>
      <c s="846" t="s">
        <v>2121</v>
      </c>
      <c s="970"/>
      <c s="846"/>
      <c s="846"/>
      <c s="846"/>
      <c s="894"/>
      <c s="1008" t="str">
        <f>INDEX(TEMPLATE_NUMBER_POINT_FHD,B47,MATCH(TEMPLATE_SPHERE,TEMPLATE_SPHERE_LIST_FOR_NOTE,0))</f>
        <v>2.10.1</v>
      </c>
      <c s="1008" t="str">
        <f>INDEX(TEMPLATE_DATA_POINT_FHD,B47,MATCH(TEMPLATE_SPHERE,TEMPLATE_SPHERE_LIST_FOR_NOTE,0))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s="1008">
        <f>INDEX(TEMPLATE_NOTE_POINT_FHD,B47,MATCH(TEMPLATE_SPHERE,TEMPLATE_SPHERE_LIST_FOR_NOTE,0))</f>
        <v>0</v>
      </c>
      <c s="847" t="str">
        <f>IF(I47=0,"",I47)</f>
        <v>2.10.1</v>
      </c>
      <c s="847" t="str">
        <f>IF(J47=0,"",J47)</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s="847" t="str">
        <f>IF(K47=0,"",K47)</f>
        <v/>
      </c>
      <c s="960" t="s">
        <v>2122</v>
      </c>
      <c s="960" t="s">
        <v>2099</v>
      </c>
      <c s="960" t="s">
        <v>2122</v>
      </c>
      <c s="960" t="s">
        <v>2099</v>
      </c>
      <c s="960"/>
      <c s="846" t="s">
        <v>2123</v>
      </c>
      <c s="846" t="s">
        <v>2123</v>
      </c>
      <c s="846" t="s">
        <v>2123</v>
      </c>
      <c s="846" t="s">
        <v>2123</v>
      </c>
      <c s="846"/>
      <c s="1003"/>
      <c s="849"/>
      <c s="852"/>
      <c s="852"/>
      <c s="852"/>
      <c s="849"/>
    </row>
    <row r="48" spans="1:30" ht="54" customHeight="1">
      <c r="A48" s="848"/>
      <c s="902">
        <v>31</v>
      </c>
      <c s="846">
        <v>16</v>
      </c>
      <c s="970"/>
      <c s="846"/>
      <c s="846"/>
      <c s="846"/>
      <c s="894"/>
      <c s="1008" t="str">
        <f>INDEX(TEMPLATE_NUMBER_POINT_FHD,B48,MATCH(TEMPLATE_SPHERE,TEMPLATE_SPHERE_LIST_FOR_NOTE,0))</f>
        <v>2.11</v>
      </c>
      <c s="1008" t="str">
        <f>INDEX(TEMPLATE_DATA_POINT_FHD,B48,MATCH(TEMPLATE_SPHERE,TEMPLATE_SPHERE_LIST_FOR_NOTE,0))</f>
        <v>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v>
      </c>
      <c s="1008" t="str">
        <f>INDEX(TEMPLATE_NOTE_POINT_FHD,B48,MATCH(TEMPLATE_SPHERE,TEMPLATE_SPHERE_LIST_FOR_NOTE,0))</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s="847" t="str">
        <f>IF(I48=0,"",I48)</f>
        <v>2.11</v>
      </c>
      <c s="847" t="str">
        <f>IF(J48=0,"",J48)</f>
        <v>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v>
      </c>
      <c s="847" t="str">
        <f>IF(K48=0,"",K48)</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s="960"/>
      <c s="960" t="s">
        <v>2106</v>
      </c>
      <c s="960" t="s">
        <v>2124</v>
      </c>
      <c s="960" t="s">
        <v>2106</v>
      </c>
      <c s="960"/>
      <c s="846"/>
      <c s="846" t="s">
        <v>2125</v>
      </c>
      <c s="846" t="s">
        <v>2126</v>
      </c>
      <c s="846" t="s">
        <v>2126</v>
      </c>
      <c s="846"/>
      <c s="1003"/>
      <c s="849"/>
      <c s="852" t="s">
        <v>2120</v>
      </c>
      <c s="852" t="s">
        <v>2120</v>
      </c>
      <c s="852" t="s">
        <v>2120</v>
      </c>
      <c s="849"/>
    </row>
    <row r="49" spans="1:30" ht="54" customHeight="1">
      <c r="A49" s="848"/>
      <c s="902">
        <v>32</v>
      </c>
      <c s="846" t="s">
        <v>2127</v>
      </c>
      <c s="970"/>
      <c s="846"/>
      <c s="846"/>
      <c s="846"/>
      <c s="894"/>
      <c s="1008" t="str">
        <f>INDEX(TEMPLATE_NUMBER_POINT_FHD,B49,MATCH(TEMPLATE_SPHERE,TEMPLATE_SPHERE_LIST_FOR_NOTE,0))</f>
        <v>2.11.1</v>
      </c>
      <c s="1008" t="str">
        <f>INDEX(TEMPLATE_DATA_POINT_FHD,B49,MATCH(TEMPLATE_SPHERE,TEMPLATE_SPHERE_LIST_FOR_NOTE,0))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s="1008">
        <f>INDEX(TEMPLATE_NOTE_POINT_FHD,B49,MATCH(TEMPLATE_SPHERE,TEMPLATE_SPHERE_LIST_FOR_NOTE,0))</f>
        <v>0</v>
      </c>
      <c s="847" t="str">
        <f>IF(I49=0,"",I49)</f>
        <v>2.11.1</v>
      </c>
      <c s="847" t="str">
        <f>IF(J49=0,"",J49)</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s="847" t="str">
        <f>IF(K49=0,"",K49)</f>
        <v/>
      </c>
      <c s="960"/>
      <c s="960" t="s">
        <v>2110</v>
      </c>
      <c s="960" t="s">
        <v>2128</v>
      </c>
      <c s="960" t="s">
        <v>2110</v>
      </c>
      <c s="960"/>
      <c s="846"/>
      <c s="846" t="s">
        <v>2123</v>
      </c>
      <c s="846" t="s">
        <v>2123</v>
      </c>
      <c s="846" t="s">
        <v>2123</v>
      </c>
      <c s="846"/>
      <c s="1003"/>
      <c s="849"/>
      <c s="852"/>
      <c s="852"/>
      <c s="852"/>
      <c s="849"/>
    </row>
    <row r="50" spans="1:30" ht="126" customHeight="1">
      <c r="A50" s="848"/>
      <c s="902">
        <v>33</v>
      </c>
      <c s="846">
        <v>17</v>
      </c>
      <c s="970"/>
      <c s="846"/>
      <c s="846"/>
      <c s="846"/>
      <c s="894"/>
      <c s="1008" t="str">
        <f>INDEX(TEMPLATE_NUMBER_POINT_FHD,B50,MATCH(TEMPLATE_SPHERE,TEMPLATE_SPHERE_LIST_FOR_NOTE,0))</f>
        <v>2.12</v>
      </c>
      <c s="1008" t="str">
        <f>INDEX(TEMPLATE_DATA_POINT_FHD,B50,MATCH(TEMPLATE_SPHERE,TEMPLATE_SPHERE_LIST_FOR_NOTE,0))</f>
        <v>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v>
      </c>
      <c s="1008" t="str">
        <f>INDEX(TEMPLATE_NOTE_POINT_FHD,B50,MATCH(TEMPLATE_SPHERE,TEMPLATE_SPHERE_LIST_FOR_NOTE,0))</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s="847" t="str">
        <f>IF(I50=0,"",I50)</f>
        <v>2.12</v>
      </c>
      <c s="847" t="str">
        <f>IF(J50=0,"",J50)</f>
        <v>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v>
      </c>
      <c s="847" t="str">
        <f>IF(K50=0,"",K50)</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s="960" t="s">
        <v>2124</v>
      </c>
      <c s="960" t="s">
        <v>2117</v>
      </c>
      <c s="960" t="s">
        <v>2129</v>
      </c>
      <c s="960" t="s">
        <v>2117</v>
      </c>
      <c s="960"/>
      <c s="846" t="s">
        <v>2130</v>
      </c>
      <c s="846" t="s">
        <v>2131</v>
      </c>
      <c s="846" t="s">
        <v>2132</v>
      </c>
      <c s="846" t="s">
        <v>2133</v>
      </c>
      <c s="846"/>
      <c s="1003"/>
      <c s="849" t="s">
        <v>2134</v>
      </c>
      <c s="852" t="s">
        <v>2135</v>
      </c>
      <c s="852" t="s">
        <v>2135</v>
      </c>
      <c s="852" t="s">
        <v>2135</v>
      </c>
      <c s="849"/>
    </row>
    <row r="51" spans="1:30" ht="27" customHeight="1">
      <c r="A51" s="848"/>
      <c s="902">
        <v>34</v>
      </c>
      <c s="846" t="s">
        <v>2136</v>
      </c>
      <c s="970"/>
      <c s="846"/>
      <c s="846"/>
      <c s="846"/>
      <c s="894"/>
      <c s="1008">
        <f>INDEX(TEMPLATE_NUMBER_POINT_FHD,B51,MATCH(TEMPLATE_SPHERE,TEMPLATE_SPHERE_LIST_FOR_NOTE,0))</f>
        <v>0</v>
      </c>
      <c s="1008">
        <f>INDEX(TEMPLATE_DATA_POINT_FHD,B51,MATCH(TEMPLATE_SPHERE,TEMPLATE_SPHERE_LIST_FOR_NOTE,0))</f>
        <v>0</v>
      </c>
      <c s="1008">
        <f>INDEX(TEMPLATE_NOTE_POINT_FHD,B51,MATCH(TEMPLATE_SPHERE,TEMPLATE_SPHERE_LIST_FOR_NOTE,0))</f>
        <v>0</v>
      </c>
      <c s="847" t="str">
        <f>IF(I51=0,"",I51)</f>
        <v/>
      </c>
      <c s="847" t="str">
        <f>IF(J51=0,"",J51)</f>
        <v/>
      </c>
      <c s="847" t="str">
        <f>IF(K51=0,"",K51)</f>
        <v/>
      </c>
      <c s="960" t="s">
        <v>89</v>
      </c>
      <c s="960"/>
      <c s="960"/>
      <c s="960"/>
      <c s="960"/>
      <c s="846" t="s">
        <v>2137</v>
      </c>
      <c s="846"/>
      <c s="846"/>
      <c s="846"/>
      <c s="846"/>
      <c s="1003"/>
      <c s="849"/>
      <c s="852"/>
      <c s="852"/>
      <c s="852"/>
      <c s="849"/>
    </row>
    <row r="52" spans="1:30" ht="36" customHeight="1">
      <c r="A52" s="848"/>
      <c s="902">
        <v>35</v>
      </c>
      <c s="846" t="s">
        <v>2030</v>
      </c>
      <c s="970" t="s">
        <v>2030</v>
      </c>
      <c s="846" t="s">
        <v>2030</v>
      </c>
      <c s="846" t="s">
        <v>2030</v>
      </c>
      <c s="846"/>
      <c s="894"/>
      <c s="1008" t="str">
        <f>INDEX(TEMPLATE_NUMBER_POINT_FHD,B52,MATCH(TEMPLATE_SPHERE,TEMPLATE_SPHERE_LIST_FOR_NOTE,0))</f>
        <v>3</v>
      </c>
      <c s="1008" t="str">
        <f>INDEX(TEMPLATE_DATA_POINT_FHD,B52,MATCH(TEMPLATE_SPHERE,TEMPLATE_SPHERE_LIST_FOR_NOTE,0))</f>
        <v>Чистая прибыль, полученная от регулируемого вида деятельности в сфере водоотведения, в том числе:</v>
      </c>
      <c s="1008" t="str">
        <f>INDEX(TEMPLATE_NOTE_POINT_FHD,B52,MATCH(TEMPLATE_SPHERE,TEMPLATE_SPHERE_LIST_FOR_NOTE,0))</f>
        <v>Указывается общая сумма чистой прибыли, полученной от регулируемого вида деятельности.</v>
      </c>
      <c s="847" t="str">
        <f>IF(I52=0,"",I52)</f>
        <v>3</v>
      </c>
      <c s="847" t="str">
        <f>IF(J52=0,"",J52)</f>
        <v>Чистая прибыль, полученная от регулируемого вида деятельности в сфере водоотведения, в том числе:</v>
      </c>
      <c s="847" t="str">
        <f>IF(K52=0,"",K52)</f>
        <v>Указывается общая сумма чистой прибыли, полученной от регулируемого вида деятельности.</v>
      </c>
      <c s="960" t="s">
        <v>90</v>
      </c>
      <c s="960" t="s">
        <v>89</v>
      </c>
      <c s="960" t="s">
        <v>89</v>
      </c>
      <c s="960" t="s">
        <v>89</v>
      </c>
      <c s="960"/>
      <c s="846" t="s">
        <v>2138</v>
      </c>
      <c s="846" t="s">
        <v>2139</v>
      </c>
      <c s="846" t="s">
        <v>2140</v>
      </c>
      <c s="846" t="s">
        <v>2141</v>
      </c>
      <c s="846"/>
      <c s="1003"/>
      <c s="849" t="s">
        <v>750</v>
      </c>
      <c s="852" t="s">
        <v>750</v>
      </c>
      <c s="852" t="s">
        <v>750</v>
      </c>
      <c s="852" t="s">
        <v>750</v>
      </c>
      <c s="849"/>
    </row>
    <row r="53" spans="1:30" ht="36" customHeight="1">
      <c r="A53" s="848"/>
      <c s="902">
        <v>36</v>
      </c>
      <c s="846">
        <v>1</v>
      </c>
      <c s="970"/>
      <c s="846"/>
      <c s="846"/>
      <c s="846"/>
      <c s="894"/>
      <c s="1008" t="str">
        <f>INDEX(TEMPLATE_NUMBER_POINT_FHD,B53,MATCH(TEMPLATE_SPHERE,TEMPLATE_SPHERE_LIST_FOR_NOTE,0))</f>
        <v>3.1</v>
      </c>
      <c s="1008" t="str">
        <f>INDEX(TEMPLATE_DATA_POINT_FHD,B53,MATCH(TEMPLATE_SPHERE,TEMPLATE_SPHERE_LIST_FOR_NOTE,0))</f>
        <v>Размер расходования чистой прибыли на финансирование мероприятий, предусмотренных инвестиционной программой регулируемой организации</v>
      </c>
      <c s="1008">
        <f>INDEX(TEMPLATE_NOTE_POINT_FHD,B53,MATCH(TEMPLATE_SPHERE,TEMPLATE_SPHERE_LIST_FOR_NOTE,0))</f>
        <v>0</v>
      </c>
      <c s="847" t="str">
        <f>IF(I53=0,"",I53)</f>
        <v>3.1</v>
      </c>
      <c s="847" t="str">
        <f>IF(J53=0,"",J53)</f>
        <v>Размер расходования чистой прибыли на финансирование мероприятий, предусмотренных инвестиционной программой регулируемой организации</v>
      </c>
      <c s="847" t="str">
        <f>IF(K53=0,"",K53)</f>
        <v/>
      </c>
      <c s="960" t="s">
        <v>754</v>
      </c>
      <c s="960" t="s">
        <v>324</v>
      </c>
      <c s="960" t="s">
        <v>324</v>
      </c>
      <c s="960" t="s">
        <v>324</v>
      </c>
      <c s="960"/>
      <c s="846" t="s">
        <v>2142</v>
      </c>
      <c s="846" t="s">
        <v>2142</v>
      </c>
      <c s="846" t="s">
        <v>2142</v>
      </c>
      <c s="846" t="s">
        <v>2142</v>
      </c>
      <c s="846"/>
      <c s="1003"/>
      <c s="849"/>
      <c s="852"/>
      <c s="849"/>
      <c s="849"/>
      <c s="849"/>
    </row>
    <row r="54" spans="1:30" ht="18" customHeight="1">
      <c r="A54" s="848"/>
      <c s="902">
        <v>37</v>
      </c>
      <c s="846" t="s">
        <v>2036</v>
      </c>
      <c s="970" t="s">
        <v>2036</v>
      </c>
      <c s="846" t="s">
        <v>2036</v>
      </c>
      <c s="846" t="s">
        <v>2036</v>
      </c>
      <c s="846"/>
      <c s="894"/>
      <c s="1008" t="str">
        <f>INDEX(TEMPLATE_NUMBER_POINT_FHD,B54,MATCH(TEMPLATE_SPHERE,TEMPLATE_SPHERE_LIST_FOR_NOTE,0))</f>
        <v>4</v>
      </c>
      <c s="1008" t="str">
        <f>INDEX(TEMPLATE_DATA_POINT_FHD,B54,MATCH(TEMPLATE_SPHERE,TEMPLATE_SPHERE_LIST_FOR_NOTE,0))</f>
        <v>Изменение стоимости основных фондов, в том числе:</v>
      </c>
      <c s="1008" t="str">
        <f>INDEX(TEMPLATE_NOTE_POINT_FHD,B54,MATCH(TEMPLATE_SPHERE,TEMPLATE_SPHERE_LIST_FOR_NOTE,0))</f>
        <v>Указывается общее изменение стоимости основных фондов.</v>
      </c>
      <c s="847" t="str">
        <f>IF(I54=0,"",I54)</f>
        <v>4</v>
      </c>
      <c s="847" t="str">
        <f>IF(J54=0,"",J54)</f>
        <v>Изменение стоимости основных фондов, в том числе:</v>
      </c>
      <c s="847" t="str">
        <f>IF(K54=0,"",K54)</f>
        <v>Указывается общее изменение стоимости основных фондов.</v>
      </c>
      <c s="960" t="s">
        <v>111</v>
      </c>
      <c s="960" t="s">
        <v>90</v>
      </c>
      <c s="960" t="s">
        <v>90</v>
      </c>
      <c s="960" t="s">
        <v>90</v>
      </c>
      <c s="960"/>
      <c s="846" t="s">
        <v>752</v>
      </c>
      <c s="846" t="s">
        <v>752</v>
      </c>
      <c s="846" t="s">
        <v>752</v>
      </c>
      <c s="846" t="s">
        <v>752</v>
      </c>
      <c s="846"/>
      <c s="1003"/>
      <c s="849" t="s">
        <v>753</v>
      </c>
      <c s="849" t="s">
        <v>753</v>
      </c>
      <c s="849" t="s">
        <v>753</v>
      </c>
      <c s="849" t="s">
        <v>753</v>
      </c>
      <c s="849"/>
    </row>
    <row r="55" spans="1:30" ht="36" customHeight="1">
      <c r="A55" s="848"/>
      <c s="902">
        <v>38</v>
      </c>
      <c s="846">
        <v>1</v>
      </c>
      <c s="970"/>
      <c s="846"/>
      <c s="846"/>
      <c s="846"/>
      <c s="894"/>
      <c s="1008" t="str">
        <f>INDEX(TEMPLATE_NUMBER_POINT_FHD,B55,MATCH(TEMPLATE_SPHERE,TEMPLATE_SPHERE_LIST_FOR_NOTE,0))</f>
        <v>4.1</v>
      </c>
      <c s="1008" t="str">
        <f>INDEX(TEMPLATE_DATA_POINT_FHD,B55,MATCH(TEMPLATE_SPHERE,TEMPLATE_SPHERE_LIST_FOR_NOTE,0))</f>
        <v>Изменение стоимости основных фондов за счет их ввода в эксплуатацию (вывода из эксплуатации)</v>
      </c>
      <c s="1008" t="str">
        <f>INDEX(TEMPLATE_NOTE_POINT_FHD,B55,MATCH(TEMPLATE_SPHERE,TEMPLATE_SPHERE_LIST_FOR_NOTE,0))</f>
        <v>Указываются общее изменение стоимости основных фондов за счет их ввода в эксплуатацию и вывода из эксплуатации.</v>
      </c>
      <c s="847" t="str">
        <f>IF(I55=0,"",I55)</f>
        <v>4.1</v>
      </c>
      <c s="847" t="str">
        <f>IF(J55=0,"",J55)</f>
        <v>Изменение стоимости основных фондов за счет их ввода в эксплуатацию (вывода из эксплуатации)</v>
      </c>
      <c s="847" t="str">
        <f>IF(K55=0,"",K55)</f>
        <v>Указываются общее изменение стоимости основных фондов за счет их ввода в эксплуатацию и вывода из эксплуатации.</v>
      </c>
      <c s="960" t="s">
        <v>313</v>
      </c>
      <c s="960" t="s">
        <v>754</v>
      </c>
      <c s="960" t="s">
        <v>754</v>
      </c>
      <c s="960" t="s">
        <v>754</v>
      </c>
      <c s="960"/>
      <c s="847" t="str">
        <f>IF(TITLE_TYPE_ORG="Регулируемая организация","Изменение стоимости основных фондов за счет:","за счет их ввода в эксплуатацию (вывода из эксплуатации)")</f>
        <v>за счет их ввода в эксплуатацию (вывода из эксплуатации)</v>
      </c>
      <c s="846" t="s">
        <v>2143</v>
      </c>
      <c s="846" t="s">
        <v>2143</v>
      </c>
      <c s="846" t="s">
        <v>2143</v>
      </c>
      <c s="846"/>
      <c s="1003"/>
      <c s="849" t="s">
        <v>2144</v>
      </c>
      <c s="849" t="s">
        <v>2144</v>
      </c>
      <c s="849" t="s">
        <v>2144</v>
      </c>
      <c s="849" t="s">
        <v>2144</v>
      </c>
      <c s="849"/>
    </row>
    <row r="56" spans="1:30" ht="27" customHeight="1">
      <c r="A56" s="848"/>
      <c s="902">
        <v>39</v>
      </c>
      <c s="846" t="s">
        <v>1022</v>
      </c>
      <c s="970"/>
      <c s="846"/>
      <c s="846"/>
      <c s="846"/>
      <c s="894"/>
      <c s="1008" t="str">
        <f>INDEX(TEMPLATE_NUMBER_POINT_FHD,B56,MATCH(TEMPLATE_SPHERE,TEMPLATE_SPHERE_LIST_FOR_NOTE,0))</f>
        <v>4.1.1</v>
      </c>
      <c s="1008" t="str">
        <f>INDEX(TEMPLATE_DATA_POINT_FHD,B56,MATCH(TEMPLATE_SPHERE,TEMPLATE_SPHERE_LIST_FOR_NOTE,0))</f>
        <v>Изменение стоимости основных фондов за счет их ввода в эксплуатацию</v>
      </c>
      <c s="1008" t="str">
        <f>INDEX(TEMPLATE_NOTE_POINT_FHD,B56,MATCH(TEMPLATE_SPHERE,TEMPLATE_SPHERE_LIST_FOR_NOTE,0))</f>
        <v>Указываются изменение стоимости основных фондов за счет их ввода в эксплуатацию.</v>
      </c>
      <c s="847" t="str">
        <f>IF(I56=0,"",I56)</f>
        <v>4.1.1</v>
      </c>
      <c s="847" t="str">
        <f>IF(J56=0,"",J56)</f>
        <v>Изменение стоимости основных фондов за счет их ввода в эксплуатацию</v>
      </c>
      <c s="847" t="str">
        <f>IF(K56=0,"",K56)</f>
        <v>Указываются изменение стоимости основных фондов за счет их ввода в эксплуатацию.</v>
      </c>
      <c s="960" t="s">
        <v>1140</v>
      </c>
      <c s="960" t="s">
        <v>757</v>
      </c>
      <c s="960" t="s">
        <v>757</v>
      </c>
      <c s="960" t="s">
        <v>757</v>
      </c>
      <c s="960"/>
      <c s="847" t="str">
        <f>IF(TITLE_TYPE_ORG="Регулируемая организация","Изменения стоимости основных фондов за счет их ввода в эксплуатацию","за счет их ввода в эксплуатацию")</f>
        <v>за счет их ввода в эксплуатацию</v>
      </c>
      <c s="846" t="s">
        <v>2145</v>
      </c>
      <c s="846" t="s">
        <v>2145</v>
      </c>
      <c s="846" t="s">
        <v>2145</v>
      </c>
      <c s="846"/>
      <c s="1003"/>
      <c s="849" t="s">
        <v>759</v>
      </c>
      <c s="849" t="s">
        <v>759</v>
      </c>
      <c s="849" t="s">
        <v>759</v>
      </c>
      <c s="849" t="s">
        <v>759</v>
      </c>
      <c s="849"/>
    </row>
    <row r="57" spans="1:30" ht="27" customHeight="1">
      <c r="A57" s="848"/>
      <c s="902">
        <v>40</v>
      </c>
      <c s="846" t="s">
        <v>1024</v>
      </c>
      <c s="970"/>
      <c s="846"/>
      <c s="846"/>
      <c s="846"/>
      <c s="894"/>
      <c s="1008" t="str">
        <f>INDEX(TEMPLATE_NUMBER_POINT_FHD,B57,MATCH(TEMPLATE_SPHERE,TEMPLATE_SPHERE_LIST_FOR_NOTE,0))</f>
        <v>4.1.2</v>
      </c>
      <c s="1008" t="str">
        <f>INDEX(TEMPLATE_DATA_POINT_FHD,B57,MATCH(TEMPLATE_SPHERE,TEMPLATE_SPHERE_LIST_FOR_NOTE,0))</f>
        <v>Изменение стоимости основных фондов за счет их вывода в эксплуатацию</v>
      </c>
      <c s="1008" t="str">
        <f>INDEX(TEMPLATE_NOTE_POINT_FHD,B57,MATCH(TEMPLATE_SPHERE,TEMPLATE_SPHERE_LIST_FOR_NOTE,0))</f>
        <v>Указываются изменение стоимости основных фондов за счет их вывода из эксплуатации.</v>
      </c>
      <c s="847" t="str">
        <f>IF(I57=0,"",I57)</f>
        <v>4.1.2</v>
      </c>
      <c s="847" t="str">
        <f>IF(J57=0,"",J57)</f>
        <v>Изменение стоимости основных фондов за счет их вывода в эксплуатацию</v>
      </c>
      <c s="847" t="str">
        <f>IF(K57=0,"",K57)</f>
        <v>Указываются изменение стоимости основных фондов за счет их вывода из эксплуатации.</v>
      </c>
      <c s="960" t="s">
        <v>2146</v>
      </c>
      <c s="960" t="s">
        <v>760</v>
      </c>
      <c s="960" t="s">
        <v>760</v>
      </c>
      <c s="960" t="s">
        <v>760</v>
      </c>
      <c s="960"/>
      <c s="847" t="str">
        <f>IF(TITLE_TYPE_ORG="Регулируемая организация","Изменения стоимости основных фондов за счет их вывода в эксплуатацию","за счет их вывода в эксплуатацию")</f>
        <v>за счет их вывода в эксплуатацию</v>
      </c>
      <c s="846" t="s">
        <v>2147</v>
      </c>
      <c s="846" t="s">
        <v>2147</v>
      </c>
      <c s="846" t="s">
        <v>2147</v>
      </c>
      <c s="846"/>
      <c s="1003"/>
      <c s="849" t="s">
        <v>762</v>
      </c>
      <c s="849" t="s">
        <v>762</v>
      </c>
      <c s="849" t="s">
        <v>762</v>
      </c>
      <c s="849" t="s">
        <v>762</v>
      </c>
      <c s="849"/>
    </row>
    <row r="58" spans="1:30" ht="18" customHeight="1">
      <c r="A58" s="848"/>
      <c s="902">
        <v>41</v>
      </c>
      <c s="846">
        <v>2</v>
      </c>
      <c s="970"/>
      <c s="846"/>
      <c s="846"/>
      <c s="846"/>
      <c s="894"/>
      <c s="1008" t="str">
        <f>INDEX(TEMPLATE_NUMBER_POINT_FHD,B58,MATCH(TEMPLATE_SPHERE,TEMPLATE_SPHERE_LIST_FOR_NOTE,0))</f>
        <v>4.2</v>
      </c>
      <c s="1008" t="str">
        <f>INDEX(TEMPLATE_DATA_POINT_FHD,B58,MATCH(TEMPLATE_SPHERE,TEMPLATE_SPHERE_LIST_FOR_NOTE,0))</f>
        <v>Изменение стоимости основных фондов за счет их переоценки</v>
      </c>
      <c s="1008">
        <f>INDEX(TEMPLATE_NOTE_POINT_FHD,B58,MATCH(TEMPLATE_SPHERE,TEMPLATE_SPHERE_LIST_FOR_NOTE,0))</f>
        <v>0</v>
      </c>
      <c s="847" t="str">
        <f>IF(I58=0,"",I58)</f>
        <v>4.2</v>
      </c>
      <c s="847" t="str">
        <f>IF(J58=0,"",J58)</f>
        <v>Изменение стоимости основных фондов за счет их переоценки</v>
      </c>
      <c s="847" t="str">
        <f>IF(K58=0,"",K58)</f>
        <v/>
      </c>
      <c s="960" t="s">
        <v>882</v>
      </c>
      <c s="960" t="s">
        <v>796</v>
      </c>
      <c s="960" t="s">
        <v>796</v>
      </c>
      <c s="960" t="s">
        <v>796</v>
      </c>
      <c s="960"/>
      <c s="847" t="str">
        <f>IF(TITLE_TYPE_ORG="Регулируемая организация","Изменение стоимости основных фондов за счет их переоценки","за счет их переоценки")</f>
        <v>за счет их переоценки</v>
      </c>
      <c s="846" t="s">
        <v>2148</v>
      </c>
      <c s="846" t="s">
        <v>2148</v>
      </c>
      <c s="846" t="s">
        <v>2148</v>
      </c>
      <c s="846"/>
      <c s="1003"/>
      <c s="849"/>
      <c s="852"/>
      <c s="849"/>
      <c s="849"/>
      <c s="849"/>
    </row>
    <row r="59" spans="1:30" ht="36" customHeight="1">
      <c r="A59" s="848"/>
      <c s="902">
        <v>42</v>
      </c>
      <c s="846">
        <v>3</v>
      </c>
      <c s="970" t="s">
        <v>2136</v>
      </c>
      <c s="846" t="s">
        <v>2136</v>
      </c>
      <c s="846" t="s">
        <v>2136</v>
      </c>
      <c s="846"/>
      <c s="894"/>
      <c s="1008" t="str">
        <f>INDEX(TEMPLATE_NUMBER_POINT_FHD,B59,MATCH(TEMPLATE_SPHERE,TEMPLATE_SPHERE_LIST_FOR_NOTE,0))</f>
        <v>5</v>
      </c>
      <c s="1008" t="str">
        <f>INDEX(TEMPLATE_DATA_POINT_FHD,B59,MATCH(TEMPLATE_SPHERE,TEMPLATE_SPHERE_LIST_FOR_NOTE,0))</f>
        <v>Валовая прибыль (убытки) от продажи товаров и услуг по регулируемым видам деятельности в сфере водоотведения</v>
      </c>
      <c s="1008">
        <f>INDEX(TEMPLATE_NOTE_POINT_FHD,B59,MATCH(TEMPLATE_SPHERE,TEMPLATE_SPHERE_LIST_FOR_NOTE,0))</f>
        <v>0</v>
      </c>
      <c s="847" t="str">
        <f>IF(I59=0,"",I59)</f>
        <v>5</v>
      </c>
      <c s="847" t="str">
        <f>IF(J59=0,"",J59)</f>
        <v>Валовая прибыль (убытки) от продажи товаров и услуг по регулируемым видам деятельности в сфере водоотведения</v>
      </c>
      <c s="847" t="str">
        <f>IF(K59=0,"",K59)</f>
        <v/>
      </c>
      <c s="960"/>
      <c s="960" t="s">
        <v>111</v>
      </c>
      <c s="960" t="s">
        <v>111</v>
      </c>
      <c s="960" t="s">
        <v>111</v>
      </c>
      <c s="960"/>
      <c s="846"/>
      <c s="846" t="s">
        <v>2149</v>
      </c>
      <c s="846" t="s">
        <v>2150</v>
      </c>
      <c s="846" t="s">
        <v>2151</v>
      </c>
      <c s="846"/>
      <c s="1003"/>
      <c s="849"/>
      <c s="852"/>
      <c s="849"/>
      <c s="849"/>
      <c s="849"/>
    </row>
    <row r="60" spans="1:30" ht="81" customHeight="1">
      <c r="A60" s="848"/>
      <c s="902">
        <v>43</v>
      </c>
      <c s="846" t="s">
        <v>2152</v>
      </c>
      <c s="970" t="s">
        <v>2152</v>
      </c>
      <c s="846" t="s">
        <v>2152</v>
      </c>
      <c s="846" t="s">
        <v>2152</v>
      </c>
      <c s="846"/>
      <c s="894"/>
      <c s="1008" t="str">
        <f>INDEX(TEMPLATE_NUMBER_POINT_FHD,B60,MATCH(TEMPLATE_SPHERE,TEMPLATE_SPHERE_LIST_FOR_NOTE,0))</f>
        <v>6</v>
      </c>
      <c s="1008" t="str">
        <f>INDEX(TEMPLATE_DATA_POINT_FHD,B60,MATCH(TEMPLATE_SPHERE,TEMPLATE_SPHERE_LIST_FOR_NOTE,0))</f>
        <v>Годовая бухгалтерская (финансовая) отчетность, включая бухгалтерский баланс и приложения к нему</v>
      </c>
      <c s="1008" t="str">
        <f>INDEX(TEMPLATE_NOTE_POINT_FHD,B60,MATCH(TEMPLATE_SPHERE,TEMPLATE_SPHERE_LIST_FOR_NOTE,0))</f>
        <v>Указывается ссылка на документ, предварительно загруженный в хранилище файлов ФГИС ЕИАС.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v>
      </c>
      <c s="847" t="str">
        <f>IF(I60=0,"",I60)</f>
        <v>6</v>
      </c>
      <c s="847" t="str">
        <f>IF(J60=0,"",J60)</f>
        <v>Годовая бухгалтерская (финансовая) отчетность, включая бухгалтерский баланс и приложения к нему</v>
      </c>
      <c s="847" t="str">
        <f>IF(K60=0,"",K60)</f>
        <v>Указывается ссылка на документ, предварительно загруженный в хранилище файлов ФГИС ЕИАС.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v>
      </c>
      <c s="960" t="s">
        <v>91</v>
      </c>
      <c s="960" t="s">
        <v>91</v>
      </c>
      <c s="960" t="s">
        <v>91</v>
      </c>
      <c s="960" t="s">
        <v>91</v>
      </c>
      <c s="960"/>
      <c s="846" t="s">
        <v>629</v>
      </c>
      <c s="846" t="s">
        <v>629</v>
      </c>
      <c s="846" t="s">
        <v>629</v>
      </c>
      <c s="846" t="s">
        <v>629</v>
      </c>
      <c s="846"/>
      <c s="1003"/>
      <c s="849" t="s">
        <v>2153</v>
      </c>
      <c s="852" t="s">
        <v>2154</v>
      </c>
      <c s="849" t="s">
        <v>2155</v>
      </c>
      <c s="849" t="s">
        <v>2154</v>
      </c>
      <c s="849"/>
    </row>
    <row r="61" spans="1:30" ht="9" customHeight="1">
      <c r="A61" s="848"/>
      <c s="902">
        <v>44</v>
      </c>
      <c s="846"/>
      <c s="970" t="s">
        <v>2156</v>
      </c>
      <c s="846"/>
      <c s="846"/>
      <c s="846"/>
      <c s="894"/>
      <c s="1008">
        <f>INDEX(TEMPLATE_NUMBER_POINT_FHD,B61,MATCH(TEMPLATE_SPHERE,TEMPLATE_SPHERE_LIST_FOR_NOTE,0))</f>
        <v>0</v>
      </c>
      <c s="1008">
        <f>INDEX(TEMPLATE_DATA_POINT_FHD,B61,MATCH(TEMPLATE_SPHERE,TEMPLATE_SPHERE_LIST_FOR_NOTE,0))</f>
        <v>0</v>
      </c>
      <c s="1008">
        <f>INDEX(TEMPLATE_NOTE_POINT_FHD,B61,MATCH(TEMPLATE_SPHERE,TEMPLATE_SPHERE_LIST_FOR_NOTE,0))</f>
        <v>0</v>
      </c>
      <c s="847" t="str">
        <f>IF(I61=0,"",I61)</f>
        <v/>
      </c>
      <c s="847" t="str">
        <f>IF(J61=0,"",J61)</f>
        <v/>
      </c>
      <c s="847" t="str">
        <f>IF(K61=0,"",K61)</f>
        <v/>
      </c>
      <c s="960"/>
      <c s="960" t="s">
        <v>92</v>
      </c>
      <c s="960"/>
      <c s="960"/>
      <c s="960"/>
      <c s="846"/>
      <c s="846" t="s">
        <v>2157</v>
      </c>
      <c s="846"/>
      <c s="846"/>
      <c s="846"/>
      <c s="1003"/>
      <c s="849"/>
      <c s="852"/>
      <c s="849"/>
      <c s="849"/>
      <c s="849"/>
    </row>
    <row r="62" spans="1:30" ht="9" customHeight="1">
      <c r="A62" s="848"/>
      <c s="902">
        <v>45</v>
      </c>
      <c s="846"/>
      <c s="970" t="s">
        <v>2158</v>
      </c>
      <c s="846"/>
      <c s="846"/>
      <c s="846"/>
      <c s="894"/>
      <c s="1008">
        <f>INDEX(TEMPLATE_NUMBER_POINT_FHD,B62,MATCH(TEMPLATE_SPHERE,TEMPLATE_SPHERE_LIST_FOR_NOTE,0))</f>
        <v>0</v>
      </c>
      <c s="1008">
        <f>INDEX(TEMPLATE_DATA_POINT_FHD,B62,MATCH(TEMPLATE_SPHERE,TEMPLATE_SPHERE_LIST_FOR_NOTE,0))</f>
        <v>0</v>
      </c>
      <c s="1008">
        <f>INDEX(TEMPLATE_NOTE_POINT_FHD,B62,MATCH(TEMPLATE_SPHERE,TEMPLATE_SPHERE_LIST_FOR_NOTE,0))</f>
        <v>0</v>
      </c>
      <c s="847" t="str">
        <f>IF(I62=0,"",I62)</f>
        <v/>
      </c>
      <c s="847" t="str">
        <f>IF(J62=0,"",J62)</f>
        <v/>
      </c>
      <c s="847" t="str">
        <f>IF(K62=0,"",K62)</f>
        <v/>
      </c>
      <c s="960"/>
      <c s="960" t="s">
        <v>112</v>
      </c>
      <c s="960"/>
      <c s="960"/>
      <c s="960"/>
      <c s="846"/>
      <c s="846" t="s">
        <v>2159</v>
      </c>
      <c s="846"/>
      <c s="846"/>
      <c s="846"/>
      <c s="1003"/>
      <c s="849"/>
      <c s="852"/>
      <c s="849"/>
      <c s="849"/>
      <c s="849"/>
    </row>
    <row r="63" spans="1:30" ht="18" customHeight="1">
      <c r="A63" s="848"/>
      <c s="902">
        <v>46</v>
      </c>
      <c s="846"/>
      <c s="970" t="s">
        <v>2160</v>
      </c>
      <c s="846"/>
      <c s="846"/>
      <c s="846"/>
      <c s="894"/>
      <c s="1008">
        <f>INDEX(TEMPLATE_NUMBER_POINT_FHD,B63,MATCH(TEMPLATE_SPHERE,TEMPLATE_SPHERE_LIST_FOR_NOTE,0))</f>
        <v>0</v>
      </c>
      <c s="1008">
        <f>INDEX(TEMPLATE_DATA_POINT_FHD,B63,MATCH(TEMPLATE_SPHERE,TEMPLATE_SPHERE_LIST_FOR_NOTE,0))</f>
        <v>0</v>
      </c>
      <c s="1008">
        <f>INDEX(TEMPLATE_NOTE_POINT_FHD,B63,MATCH(TEMPLATE_SPHERE,TEMPLATE_SPHERE_LIST_FOR_NOTE,0))</f>
        <v>0</v>
      </c>
      <c s="847" t="str">
        <f>IF(I63=0,"",I63)</f>
        <v/>
      </c>
      <c s="847" t="str">
        <f>IF(J63=0,"",J63)</f>
        <v/>
      </c>
      <c s="847" t="str">
        <f>IF(K63=0,"",K63)</f>
        <v/>
      </c>
      <c s="960"/>
      <c s="960" t="s">
        <v>150</v>
      </c>
      <c s="960"/>
      <c s="960"/>
      <c s="960"/>
      <c s="846"/>
      <c s="846" t="s">
        <v>2161</v>
      </c>
      <c s="846"/>
      <c s="846"/>
      <c s="846"/>
      <c s="1003"/>
      <c s="849"/>
      <c s="852"/>
      <c s="849"/>
      <c s="849"/>
      <c s="849"/>
    </row>
    <row r="64" spans="1:30" ht="18" customHeight="1">
      <c r="A64" s="848"/>
      <c s="902">
        <v>47</v>
      </c>
      <c s="846"/>
      <c s="970" t="s">
        <v>2162</v>
      </c>
      <c s="846"/>
      <c s="846"/>
      <c s="846"/>
      <c s="894"/>
      <c s="1008">
        <f>INDEX(TEMPLATE_NUMBER_POINT_FHD,B64,MATCH(TEMPLATE_SPHERE,TEMPLATE_SPHERE_LIST_FOR_NOTE,0))</f>
        <v>0</v>
      </c>
      <c s="1008">
        <f>INDEX(TEMPLATE_DATA_POINT_FHD,B64,MATCH(TEMPLATE_SPHERE,TEMPLATE_SPHERE_LIST_FOR_NOTE,0))</f>
        <v>0</v>
      </c>
      <c s="1008">
        <f>INDEX(TEMPLATE_NOTE_POINT_FHD,B64,MATCH(TEMPLATE_SPHERE,TEMPLATE_SPHERE_LIST_FOR_NOTE,0))</f>
        <v>0</v>
      </c>
      <c s="847" t="str">
        <f>IF(I64=0,"",I64)</f>
        <v/>
      </c>
      <c s="847" t="str">
        <f>IF(J64=0,"",J64)</f>
        <v/>
      </c>
      <c s="847" t="str">
        <f>IF(K64=0,"",K64)</f>
        <v/>
      </c>
      <c s="960"/>
      <c s="960" t="s">
        <v>151</v>
      </c>
      <c s="960"/>
      <c s="960"/>
      <c s="960"/>
      <c s="846"/>
      <c s="846" t="s">
        <v>2163</v>
      </c>
      <c s="846"/>
      <c s="846"/>
      <c s="846"/>
      <c s="1003"/>
      <c s="849"/>
      <c s="852" t="s">
        <v>2164</v>
      </c>
      <c s="849"/>
      <c s="849"/>
      <c s="849"/>
    </row>
    <row r="65" spans="1:30" ht="18" customHeight="1">
      <c r="A65" s="848"/>
      <c s="902">
        <v>48</v>
      </c>
      <c s="846"/>
      <c s="970"/>
      <c s="846"/>
      <c s="846"/>
      <c s="846"/>
      <c s="894"/>
      <c s="1008">
        <f>INDEX(TEMPLATE_NUMBER_POINT_FHD,B65,MATCH(TEMPLATE_SPHERE,TEMPLATE_SPHERE_LIST_FOR_NOTE,0))</f>
        <v>0</v>
      </c>
      <c s="1008">
        <f>INDEX(TEMPLATE_DATA_POINT_FHD,B65,MATCH(TEMPLATE_SPHERE,TEMPLATE_SPHERE_LIST_FOR_NOTE,0))</f>
        <v>0</v>
      </c>
      <c s="1008">
        <f>INDEX(TEMPLATE_NOTE_POINT_FHD,B65,MATCH(TEMPLATE_SPHERE,TEMPLATE_SPHERE_LIST_FOR_NOTE,0))</f>
        <v>0</v>
      </c>
      <c s="847" t="str">
        <f>IF(I65=0,"",I65)</f>
        <v/>
      </c>
      <c s="847" t="str">
        <f>IF(J65=0,"",J65)</f>
        <v/>
      </c>
      <c s="847" t="str">
        <f>IF(K65=0,"",K65)</f>
        <v/>
      </c>
      <c s="960"/>
      <c s="960" t="s">
        <v>2077</v>
      </c>
      <c s="960"/>
      <c s="960"/>
      <c s="960"/>
      <c s="846"/>
      <c s="846" t="s">
        <v>2165</v>
      </c>
      <c s="846"/>
      <c s="846"/>
      <c s="846"/>
      <c s="1003"/>
      <c s="849"/>
      <c s="852"/>
      <c s="849"/>
      <c s="849"/>
      <c s="849"/>
    </row>
    <row r="66" spans="1:30" ht="18" customHeight="1">
      <c r="A66" s="848"/>
      <c s="902">
        <v>49</v>
      </c>
      <c s="846"/>
      <c s="970"/>
      <c s="846"/>
      <c s="846"/>
      <c s="846"/>
      <c s="894"/>
      <c s="1008">
        <f>INDEX(TEMPLATE_NUMBER_POINT_FHD,B66,MATCH(TEMPLATE_SPHERE,TEMPLATE_SPHERE_LIST_FOR_NOTE,0))</f>
        <v>0</v>
      </c>
      <c s="1008">
        <f>INDEX(TEMPLATE_DATA_POINT_FHD,B66,MATCH(TEMPLATE_SPHERE,TEMPLATE_SPHERE_LIST_FOR_NOTE,0))</f>
        <v>0</v>
      </c>
      <c s="1008">
        <f>INDEX(TEMPLATE_NOTE_POINT_FHD,B66,MATCH(TEMPLATE_SPHERE,TEMPLATE_SPHERE_LIST_FOR_NOTE,0))</f>
        <v>0</v>
      </c>
      <c s="847" t="str">
        <f>IF(I66=0,"",I66)</f>
        <v/>
      </c>
      <c s="847" t="str">
        <f>IF(J66=0,"",J66)</f>
        <v/>
      </c>
      <c s="847" t="str">
        <f>IF(K66=0,"",K66)</f>
        <v/>
      </c>
      <c s="960"/>
      <c s="960" t="s">
        <v>2081</v>
      </c>
      <c s="960"/>
      <c s="960"/>
      <c s="960"/>
      <c s="846"/>
      <c s="846" t="s">
        <v>2166</v>
      </c>
      <c s="846"/>
      <c s="846"/>
      <c s="846"/>
      <c s="1003"/>
      <c s="849"/>
      <c s="852"/>
      <c s="849"/>
      <c s="849"/>
      <c s="849"/>
    </row>
    <row r="67" spans="1:30" ht="27" customHeight="1">
      <c r="A67" s="848"/>
      <c s="902">
        <v>50</v>
      </c>
      <c s="846"/>
      <c s="970"/>
      <c s="846"/>
      <c s="846"/>
      <c s="846"/>
      <c s="894"/>
      <c s="1008">
        <f>INDEX(TEMPLATE_NUMBER_POINT_FHD,B67,MATCH(TEMPLATE_SPHERE,TEMPLATE_SPHERE_LIST_FOR_NOTE,0))</f>
        <v>0</v>
      </c>
      <c s="1008">
        <f>INDEX(TEMPLATE_DATA_POINT_FHD,B67,MATCH(TEMPLATE_SPHERE,TEMPLATE_SPHERE_LIST_FOR_NOTE,0))</f>
        <v>0</v>
      </c>
      <c s="1008">
        <f>INDEX(TEMPLATE_NOTE_POINT_FHD,B67,MATCH(TEMPLATE_SPHERE,TEMPLATE_SPHERE_LIST_FOR_NOTE,0))</f>
        <v>0</v>
      </c>
      <c s="847" t="str">
        <f>IF(I67=0,"",I67)</f>
        <v/>
      </c>
      <c s="847" t="str">
        <f>IF(J67=0,"",J67)</f>
        <v/>
      </c>
      <c s="847" t="str">
        <f>IF(K67=0,"",K67)</f>
        <v/>
      </c>
      <c s="960"/>
      <c s="960" t="s">
        <v>2167</v>
      </c>
      <c s="960"/>
      <c s="960"/>
      <c s="960"/>
      <c s="846"/>
      <c s="846" t="s">
        <v>2168</v>
      </c>
      <c s="846"/>
      <c s="846"/>
      <c s="846"/>
      <c s="1003"/>
      <c s="849"/>
      <c s="852"/>
      <c s="849"/>
      <c s="849"/>
      <c s="849"/>
    </row>
    <row r="68" spans="1:30" ht="27" customHeight="1">
      <c r="A68" s="848"/>
      <c s="902">
        <v>51</v>
      </c>
      <c s="846"/>
      <c s="970"/>
      <c s="846"/>
      <c s="846"/>
      <c s="846"/>
      <c s="894"/>
      <c s="1008">
        <f>INDEX(TEMPLATE_NUMBER_POINT_FHD,B68,MATCH(TEMPLATE_SPHERE,TEMPLATE_SPHERE_LIST_FOR_NOTE,0))</f>
        <v>0</v>
      </c>
      <c s="1008">
        <f>INDEX(TEMPLATE_DATA_POINT_FHD,B68,MATCH(TEMPLATE_SPHERE,TEMPLATE_SPHERE_LIST_FOR_NOTE,0))</f>
        <v>0</v>
      </c>
      <c s="1008">
        <f>INDEX(TEMPLATE_NOTE_POINT_FHD,B68,MATCH(TEMPLATE_SPHERE,TEMPLATE_SPHERE_LIST_FOR_NOTE,0))</f>
        <v>0</v>
      </c>
      <c s="847" t="str">
        <f>IF(I68=0,"",I68)</f>
        <v/>
      </c>
      <c s="847" t="str">
        <f>IF(J68=0,"",J68)</f>
        <v/>
      </c>
      <c s="847" t="str">
        <f>IF(K68=0,"",K68)</f>
        <v/>
      </c>
      <c s="960"/>
      <c s="960" t="s">
        <v>2169</v>
      </c>
      <c s="960"/>
      <c s="960"/>
      <c s="960"/>
      <c s="846"/>
      <c s="846" t="s">
        <v>2170</v>
      </c>
      <c s="846"/>
      <c s="846"/>
      <c s="846"/>
      <c s="1003"/>
      <c s="849"/>
      <c s="852"/>
      <c s="849"/>
      <c s="849"/>
      <c s="849"/>
    </row>
    <row r="69" spans="1:30" ht="9" customHeight="1">
      <c r="A69" s="848"/>
      <c s="902">
        <v>52</v>
      </c>
      <c s="846"/>
      <c s="970" t="s">
        <v>2171</v>
      </c>
      <c s="846"/>
      <c s="846"/>
      <c s="846"/>
      <c s="894"/>
      <c s="1008">
        <f>INDEX(TEMPLATE_NUMBER_POINT_FHD,B69,MATCH(TEMPLATE_SPHERE,TEMPLATE_SPHERE_LIST_FOR_NOTE,0))</f>
        <v>0</v>
      </c>
      <c s="1008">
        <f>INDEX(TEMPLATE_DATA_POINT_FHD,B69,MATCH(TEMPLATE_SPHERE,TEMPLATE_SPHERE_LIST_FOR_NOTE,0))</f>
        <v>0</v>
      </c>
      <c s="1008">
        <f>INDEX(TEMPLATE_NOTE_POINT_FHD,B69,MATCH(TEMPLATE_SPHERE,TEMPLATE_SPHERE_LIST_FOR_NOTE,0))</f>
        <v>0</v>
      </c>
      <c s="847" t="str">
        <f>IF(I69=0,"",I69)</f>
        <v/>
      </c>
      <c s="847" t="str">
        <f>IF(J69=0,"",J69)</f>
        <v/>
      </c>
      <c s="847" t="str">
        <f>IF(K69=0,"",K69)</f>
        <v/>
      </c>
      <c s="960"/>
      <c s="960" t="s">
        <v>152</v>
      </c>
      <c s="960"/>
      <c s="960"/>
      <c s="960"/>
      <c s="846"/>
      <c s="846" t="s">
        <v>2172</v>
      </c>
      <c s="846"/>
      <c s="846"/>
      <c s="846"/>
      <c s="1003"/>
      <c s="849"/>
      <c s="852"/>
      <c s="849"/>
      <c s="849"/>
      <c s="849"/>
    </row>
    <row r="70" spans="1:30" ht="27" customHeight="1">
      <c r="A70" s="848"/>
      <c s="902">
        <v>53</v>
      </c>
      <c s="846"/>
      <c s="970"/>
      <c s="846" t="s">
        <v>2156</v>
      </c>
      <c s="846"/>
      <c s="846"/>
      <c s="894"/>
      <c s="1008">
        <f>INDEX(TEMPLATE_NUMBER_POINT_FHD,B70,MATCH(TEMPLATE_SPHERE,TEMPLATE_SPHERE_LIST_FOR_NOTE,0))</f>
        <v>0</v>
      </c>
      <c s="1008">
        <f>INDEX(TEMPLATE_DATA_POINT_FHD,B70,MATCH(TEMPLATE_SPHERE,TEMPLATE_SPHERE_LIST_FOR_NOTE,0))</f>
        <v>0</v>
      </c>
      <c s="1008">
        <f>INDEX(TEMPLATE_NOTE_POINT_FHD,B70,MATCH(TEMPLATE_SPHERE,TEMPLATE_SPHERE_LIST_FOR_NOTE,0))</f>
        <v>0</v>
      </c>
      <c s="847" t="str">
        <f>IF(I70=0,"",I70)</f>
        <v/>
      </c>
      <c s="847" t="str">
        <f>IF(J70=0,"",J70)</f>
        <v/>
      </c>
      <c s="847" t="str">
        <f>IF(K70=0,"",K70)</f>
        <v/>
      </c>
      <c s="960"/>
      <c s="960"/>
      <c s="960" t="s">
        <v>92</v>
      </c>
      <c s="960"/>
      <c s="960"/>
      <c s="846"/>
      <c s="846"/>
      <c s="846" t="s">
        <v>2173</v>
      </c>
      <c s="846"/>
      <c s="846"/>
      <c s="1003"/>
      <c s="849"/>
      <c s="852"/>
      <c s="849"/>
      <c s="849"/>
      <c s="849"/>
    </row>
    <row r="71" spans="1:30" ht="36" customHeight="1">
      <c r="A71" s="848"/>
      <c s="902">
        <v>54</v>
      </c>
      <c s="846"/>
      <c s="970"/>
      <c s="846" t="s">
        <v>2158</v>
      </c>
      <c s="846"/>
      <c s="846"/>
      <c s="894"/>
      <c s="1008">
        <f>INDEX(TEMPLATE_NUMBER_POINT_FHD,B71,MATCH(TEMPLATE_SPHERE,TEMPLATE_SPHERE_LIST_FOR_NOTE,0))</f>
        <v>0</v>
      </c>
      <c s="1008">
        <f>INDEX(TEMPLATE_DATA_POINT_FHD,B71,MATCH(TEMPLATE_SPHERE,TEMPLATE_SPHERE_LIST_FOR_NOTE,0))</f>
        <v>0</v>
      </c>
      <c s="1008">
        <f>INDEX(TEMPLATE_NOTE_POINT_FHD,B71,MATCH(TEMPLATE_SPHERE,TEMPLATE_SPHERE_LIST_FOR_NOTE,0))</f>
        <v>0</v>
      </c>
      <c s="847" t="str">
        <f>IF(I71=0,"",I71)</f>
        <v/>
      </c>
      <c s="847" t="str">
        <f>IF(J71=0,"",J71)</f>
        <v/>
      </c>
      <c s="847" t="str">
        <f>IF(K71=0,"",K71)</f>
        <v/>
      </c>
      <c s="960"/>
      <c s="960"/>
      <c s="960" t="s">
        <v>112</v>
      </c>
      <c s="960"/>
      <c s="960"/>
      <c s="846"/>
      <c s="846"/>
      <c s="846" t="s">
        <v>2174</v>
      </c>
      <c s="846"/>
      <c s="846"/>
      <c s="1003"/>
      <c s="849"/>
      <c s="852"/>
      <c s="849"/>
      <c s="849"/>
      <c s="849"/>
    </row>
    <row r="72" spans="1:30" ht="27" customHeight="1">
      <c r="A72" s="848"/>
      <c s="902">
        <v>55</v>
      </c>
      <c s="846"/>
      <c s="970"/>
      <c s="846" t="s">
        <v>2160</v>
      </c>
      <c s="846"/>
      <c s="846"/>
      <c s="894"/>
      <c s="1008">
        <f>INDEX(TEMPLATE_NUMBER_POINT_FHD,B72,MATCH(TEMPLATE_SPHERE,TEMPLATE_SPHERE_LIST_FOR_NOTE,0))</f>
        <v>0</v>
      </c>
      <c s="1008">
        <f>INDEX(TEMPLATE_DATA_POINT_FHD,B72,MATCH(TEMPLATE_SPHERE,TEMPLATE_SPHERE_LIST_FOR_NOTE,0))</f>
        <v>0</v>
      </c>
      <c s="1008">
        <f>INDEX(TEMPLATE_NOTE_POINT_FHD,B72,MATCH(TEMPLATE_SPHERE,TEMPLATE_SPHERE_LIST_FOR_NOTE,0))</f>
        <v>0</v>
      </c>
      <c s="847" t="str">
        <f>IF(I72=0,"",I72)</f>
        <v/>
      </c>
      <c s="847" t="str">
        <f>IF(J72=0,"",J72)</f>
        <v/>
      </c>
      <c s="847" t="str">
        <f>IF(K72=0,"",K72)</f>
        <v/>
      </c>
      <c s="960"/>
      <c s="960"/>
      <c s="960" t="s">
        <v>150</v>
      </c>
      <c s="960"/>
      <c s="960"/>
      <c s="846"/>
      <c s="846"/>
      <c s="846" t="s">
        <v>2175</v>
      </c>
      <c s="846"/>
      <c s="846"/>
      <c s="1003"/>
      <c s="849"/>
      <c s="852"/>
      <c s="849"/>
      <c s="849"/>
      <c s="849"/>
    </row>
    <row r="73" spans="1:30" ht="36" customHeight="1">
      <c r="A73" s="848"/>
      <c s="902">
        <v>56</v>
      </c>
      <c s="846"/>
      <c s="970"/>
      <c s="846" t="s">
        <v>2162</v>
      </c>
      <c s="846"/>
      <c s="846"/>
      <c s="894"/>
      <c s="1008">
        <f>INDEX(TEMPLATE_NUMBER_POINT_FHD,B73,MATCH(TEMPLATE_SPHERE,TEMPLATE_SPHERE_LIST_FOR_NOTE,0))</f>
        <v>0</v>
      </c>
      <c s="1008">
        <f>INDEX(TEMPLATE_DATA_POINT_FHD,B73,MATCH(TEMPLATE_SPHERE,TEMPLATE_SPHERE_LIST_FOR_NOTE,0))</f>
        <v>0</v>
      </c>
      <c s="1008">
        <f>INDEX(TEMPLATE_NOTE_POINT_FHD,B73,MATCH(TEMPLATE_SPHERE,TEMPLATE_SPHERE_LIST_FOR_NOTE,0))</f>
        <v>0</v>
      </c>
      <c s="847" t="str">
        <f>IF(I73=0,"",I73)</f>
        <v/>
      </c>
      <c s="847" t="str">
        <f>IF(J73=0,"",J73)</f>
        <v/>
      </c>
      <c s="847" t="str">
        <f>IF(K73=0,"",K73)</f>
        <v/>
      </c>
      <c s="960"/>
      <c s="960"/>
      <c s="960" t="s">
        <v>151</v>
      </c>
      <c s="960"/>
      <c s="960"/>
      <c s="846"/>
      <c s="846"/>
      <c s="846" t="s">
        <v>2176</v>
      </c>
      <c s="846"/>
      <c s="846"/>
      <c s="1003"/>
      <c s="849"/>
      <c s="852"/>
      <c s="849"/>
      <c s="849"/>
      <c s="849"/>
    </row>
    <row r="74" spans="1:30" ht="18" customHeight="1">
      <c r="A74" s="848"/>
      <c s="902">
        <v>57</v>
      </c>
      <c s="846"/>
      <c s="970"/>
      <c s="846" t="s">
        <v>2171</v>
      </c>
      <c s="846"/>
      <c s="846"/>
      <c s="894"/>
      <c s="1008">
        <f>INDEX(TEMPLATE_NUMBER_POINT_FHD,B74,MATCH(TEMPLATE_SPHERE,TEMPLATE_SPHERE_LIST_FOR_NOTE,0))</f>
        <v>0</v>
      </c>
      <c s="1008">
        <f>INDEX(TEMPLATE_DATA_POINT_FHD,B74,MATCH(TEMPLATE_SPHERE,TEMPLATE_SPHERE_LIST_FOR_NOTE,0))</f>
        <v>0</v>
      </c>
      <c s="1008">
        <f>INDEX(TEMPLATE_NOTE_POINT_FHD,B74,MATCH(TEMPLATE_SPHERE,TEMPLATE_SPHERE_LIST_FOR_NOTE,0))</f>
        <v>0</v>
      </c>
      <c s="847" t="str">
        <f>IF(I74=0,"",I74)</f>
        <v/>
      </c>
      <c s="847" t="str">
        <f>IF(J74=0,"",J74)</f>
        <v/>
      </c>
      <c s="847" t="str">
        <f>IF(K74=0,"",K74)</f>
        <v/>
      </c>
      <c s="960"/>
      <c s="960"/>
      <c s="960" t="s">
        <v>152</v>
      </c>
      <c s="960"/>
      <c s="960"/>
      <c s="846"/>
      <c s="846"/>
      <c s="846" t="s">
        <v>2177</v>
      </c>
      <c s="846"/>
      <c s="846"/>
      <c s="1003"/>
      <c s="849"/>
      <c s="852"/>
      <c s="849"/>
      <c s="849"/>
      <c s="849"/>
    </row>
    <row r="75" spans="1:30" ht="18" customHeight="1">
      <c r="A75" s="848"/>
      <c s="902">
        <v>58</v>
      </c>
      <c s="846"/>
      <c s="970"/>
      <c s="846"/>
      <c s="846" t="s">
        <v>2156</v>
      </c>
      <c s="846"/>
      <c s="894"/>
      <c s="1008" t="str">
        <f>INDEX(TEMPLATE_NUMBER_POINT_FHD,B75,MATCH(TEMPLATE_SPHERE,TEMPLATE_SPHERE_LIST_FOR_NOTE,0))</f>
        <v>7</v>
      </c>
      <c s="1008" t="str">
        <f>INDEX(TEMPLATE_DATA_POINT_FHD,B75,MATCH(TEMPLATE_SPHERE,TEMPLATE_SPHERE_LIST_FOR_NOTE,0))</f>
        <v>Объём сточных вод, принятых от потребителей</v>
      </c>
      <c s="1008">
        <f>INDEX(TEMPLATE_NOTE_POINT_FHD,B75,MATCH(TEMPLATE_SPHERE,TEMPLATE_SPHERE_LIST_FOR_NOTE,0))</f>
        <v>0</v>
      </c>
      <c s="847" t="str">
        <f>IF(I75=0,"",I75)</f>
        <v>7</v>
      </c>
      <c s="847" t="str">
        <f>IF(J75=0,"",J75)</f>
        <v>Объём сточных вод, принятых от потребителей</v>
      </c>
      <c s="847" t="str">
        <f>IF(K75=0,"",K75)</f>
        <v/>
      </c>
      <c s="960"/>
      <c s="960"/>
      <c s="960"/>
      <c s="960" t="s">
        <v>92</v>
      </c>
      <c s="960"/>
      <c s="846"/>
      <c s="846"/>
      <c s="846"/>
      <c s="846" t="s">
        <v>2178</v>
      </c>
      <c s="846"/>
      <c s="1003"/>
      <c s="849"/>
      <c s="852"/>
      <c s="849"/>
      <c s="849"/>
      <c s="849"/>
    </row>
    <row r="76" spans="1:30" ht="36" customHeight="1">
      <c r="A76" s="848"/>
      <c s="902">
        <v>59</v>
      </c>
      <c s="846"/>
      <c s="970"/>
      <c s="846"/>
      <c s="846" t="s">
        <v>2158</v>
      </c>
      <c s="846"/>
      <c s="894"/>
      <c s="1008" t="str">
        <f>INDEX(TEMPLATE_NUMBER_POINT_FHD,B76,MATCH(TEMPLATE_SPHERE,TEMPLATE_SPHERE_LIST_FOR_NOTE,0))</f>
        <v>8</v>
      </c>
      <c s="1008" t="str">
        <f>INDEX(TEMPLATE_DATA_POINT_FHD,B76,MATCH(TEMPLATE_SPHERE,TEMPLATE_SPHERE_LIST_FOR_NOTE,0))</f>
        <v>Объём сточных вод, принятых от других регулируемых организаций, осуществляющих водоотведение и (или) очистку сточных вод</v>
      </c>
      <c s="1008">
        <f>INDEX(TEMPLATE_NOTE_POINT_FHD,B76,MATCH(TEMPLATE_SPHERE,TEMPLATE_SPHERE_LIST_FOR_NOTE,0))</f>
        <v>0</v>
      </c>
      <c s="847" t="str">
        <f>IF(I76=0,"",I76)</f>
        <v>8</v>
      </c>
      <c s="847" t="str">
        <f>IF(J76=0,"",J76)</f>
        <v>Объём сточных вод, принятых от других регулируемых организаций, осуществляющих водоотведение и (или) очистку сточных вод</v>
      </c>
      <c s="847" t="str">
        <f>IF(K76=0,"",K76)</f>
        <v/>
      </c>
      <c s="960"/>
      <c s="960"/>
      <c s="960"/>
      <c s="960" t="s">
        <v>112</v>
      </c>
      <c s="960"/>
      <c s="846"/>
      <c s="846"/>
      <c s="846"/>
      <c s="846" t="s">
        <v>2179</v>
      </c>
      <c s="846"/>
      <c s="1003"/>
      <c s="849"/>
      <c s="852"/>
      <c s="849"/>
      <c s="849"/>
      <c s="849"/>
    </row>
    <row r="77" spans="1:30" ht="18" customHeight="1">
      <c r="A77" s="848"/>
      <c s="902">
        <v>60</v>
      </c>
      <c s="846"/>
      <c s="970"/>
      <c s="846"/>
      <c s="846" t="s">
        <v>2160</v>
      </c>
      <c s="846"/>
      <c s="894"/>
      <c s="1008" t="str">
        <f>INDEX(TEMPLATE_NUMBER_POINT_FHD,B77,MATCH(TEMPLATE_SPHERE,TEMPLATE_SPHERE_LIST_FOR_NOTE,0))</f>
        <v>9</v>
      </c>
      <c s="1008" t="str">
        <f>INDEX(TEMPLATE_DATA_POINT_FHD,B77,MATCH(TEMPLATE_SPHERE,TEMPLATE_SPHERE_LIST_FOR_NOTE,0))</f>
        <v>Объём сточных вод, пропущенных через очистные сооружения</v>
      </c>
      <c s="1008">
        <f>INDEX(TEMPLATE_NOTE_POINT_FHD,B77,MATCH(TEMPLATE_SPHERE,TEMPLATE_SPHERE_LIST_FOR_NOTE,0))</f>
        <v>0</v>
      </c>
      <c s="847" t="str">
        <f>IF(I77=0,"",I77)</f>
        <v>9</v>
      </c>
      <c s="847" t="str">
        <f>IF(J77=0,"",J77)</f>
        <v>Объём сточных вод, пропущенных через очистные сооружения</v>
      </c>
      <c s="847" t="str">
        <f>IF(K77=0,"",K77)</f>
        <v/>
      </c>
      <c s="960"/>
      <c s="960"/>
      <c s="960"/>
      <c s="960" t="s">
        <v>150</v>
      </c>
      <c s="960"/>
      <c s="846"/>
      <c s="846"/>
      <c s="846"/>
      <c s="846" t="s">
        <v>2180</v>
      </c>
      <c s="846"/>
      <c s="1003"/>
      <c s="849"/>
      <c s="852"/>
      <c s="849"/>
      <c s="849"/>
      <c s="849"/>
    </row>
    <row r="78" spans="1:30" ht="72" customHeight="1">
      <c r="A78" s="848"/>
      <c s="902">
        <v>61</v>
      </c>
      <c s="846" t="s">
        <v>2156</v>
      </c>
      <c s="970"/>
      <c s="846"/>
      <c s="846"/>
      <c s="846"/>
      <c s="894"/>
      <c s="1008">
        <f>INDEX(TEMPLATE_NUMBER_POINT_FHD,B78,MATCH(TEMPLATE_SPHERE,TEMPLATE_SPHERE_LIST_FOR_NOTE,0))</f>
        <v>0</v>
      </c>
      <c s="1008">
        <f>INDEX(TEMPLATE_DATA_POINT_FHD,B78,MATCH(TEMPLATE_SPHERE,TEMPLATE_SPHERE_LIST_FOR_NOTE,0))</f>
        <v>0</v>
      </c>
      <c s="1008">
        <f>INDEX(TEMPLATE_NOTE_POINT_FHD,B78,MATCH(TEMPLATE_SPHERE,TEMPLATE_SPHERE_LIST_FOR_NOTE,0))</f>
        <v>0</v>
      </c>
      <c s="847" t="str">
        <f>IF(I78=0,"",I78)</f>
        <v/>
      </c>
      <c s="847" t="str">
        <f>IF(J78=0,"",J78)</f>
        <v/>
      </c>
      <c s="847" t="str">
        <f>IF(K78=0,"",K78)</f>
        <v/>
      </c>
      <c s="960" t="s">
        <v>92</v>
      </c>
      <c s="960"/>
      <c s="960"/>
      <c s="960"/>
      <c s="960"/>
      <c s="846" t="s">
        <v>634</v>
      </c>
      <c s="846"/>
      <c s="846"/>
      <c s="846"/>
      <c s="846"/>
      <c s="1003"/>
      <c s="849" t="s">
        <v>2181</v>
      </c>
      <c s="852"/>
      <c s="849"/>
      <c s="849"/>
      <c s="849"/>
    </row>
    <row r="79" spans="1:30" ht="36" customHeight="1">
      <c r="A79" s="848"/>
      <c s="902">
        <v>62</v>
      </c>
      <c s="846" t="s">
        <v>2158</v>
      </c>
      <c s="970"/>
      <c s="846"/>
      <c s="846"/>
      <c s="846"/>
      <c s="894"/>
      <c s="1008">
        <f>INDEX(TEMPLATE_NUMBER_POINT_FHD,B79,MATCH(TEMPLATE_SPHERE,TEMPLATE_SPHERE_LIST_FOR_NOTE,0))</f>
        <v>0</v>
      </c>
      <c s="1008">
        <f>INDEX(TEMPLATE_DATA_POINT_FHD,B79,MATCH(TEMPLATE_SPHERE,TEMPLATE_SPHERE_LIST_FOR_NOTE,0))</f>
        <v>0</v>
      </c>
      <c s="1008">
        <f>INDEX(TEMPLATE_NOTE_POINT_FHD,B79,MATCH(TEMPLATE_SPHERE,TEMPLATE_SPHERE_LIST_FOR_NOTE,0))</f>
        <v>0</v>
      </c>
      <c s="847" t="str">
        <f>IF(I79=0,"",I79)</f>
        <v/>
      </c>
      <c s="847" t="str">
        <f>IF(J79=0,"",J79)</f>
        <v/>
      </c>
      <c s="847" t="str">
        <f>IF(K79=0,"",K79)</f>
        <v/>
      </c>
      <c s="960" t="s">
        <v>112</v>
      </c>
      <c s="960"/>
      <c s="960"/>
      <c s="960"/>
      <c s="960"/>
      <c s="846" t="s">
        <v>2182</v>
      </c>
      <c s="846"/>
      <c s="846"/>
      <c s="846"/>
      <c s="846"/>
      <c s="1003"/>
      <c s="849" t="s">
        <v>2183</v>
      </c>
      <c s="852"/>
      <c s="849"/>
      <c s="849"/>
      <c s="849"/>
    </row>
    <row r="80" spans="1:30" ht="45" customHeight="1">
      <c r="A80" s="848"/>
      <c s="902">
        <v>63</v>
      </c>
      <c s="846" t="s">
        <v>2160</v>
      </c>
      <c s="970"/>
      <c s="846"/>
      <c s="846"/>
      <c s="846"/>
      <c s="894"/>
      <c s="1008">
        <f>INDEX(TEMPLATE_NUMBER_POINT_FHD,B80,MATCH(TEMPLATE_SPHERE,TEMPLATE_SPHERE_LIST_FOR_NOTE,0))</f>
        <v>0</v>
      </c>
      <c s="1008">
        <f>INDEX(TEMPLATE_DATA_POINT_FHD,B80,MATCH(TEMPLATE_SPHERE,TEMPLATE_SPHERE_LIST_FOR_NOTE,0))</f>
        <v>0</v>
      </c>
      <c s="1008">
        <f>INDEX(TEMPLATE_NOTE_POINT_FHD,B80,MATCH(TEMPLATE_SPHERE,TEMPLATE_SPHERE_LIST_FOR_NOTE,0))</f>
        <v>0</v>
      </c>
      <c s="847" t="str">
        <f>IF(I80=0,"",I80)</f>
        <v/>
      </c>
      <c s="847" t="str">
        <f>IF(J80=0,"",J80)</f>
        <v/>
      </c>
      <c s="847" t="str">
        <f>IF(K80=0,"",K80)</f>
        <v/>
      </c>
      <c s="960" t="s">
        <v>150</v>
      </c>
      <c s="960"/>
      <c s="960"/>
      <c s="960"/>
      <c s="960"/>
      <c s="846" t="s">
        <v>2184</v>
      </c>
      <c s="846"/>
      <c s="846"/>
      <c s="846"/>
      <c s="846"/>
      <c s="1003"/>
      <c s="849" t="s">
        <v>2185</v>
      </c>
      <c s="852"/>
      <c s="849"/>
      <c s="849"/>
      <c s="849"/>
    </row>
    <row r="81" spans="1:30" ht="36" customHeight="1">
      <c r="A81" s="848"/>
      <c s="902">
        <v>64</v>
      </c>
      <c s="846" t="s">
        <v>2162</v>
      </c>
      <c s="970"/>
      <c s="846"/>
      <c s="846"/>
      <c s="846"/>
      <c s="894"/>
      <c s="1008">
        <f>INDEX(TEMPLATE_NUMBER_POINT_FHD,B81,MATCH(TEMPLATE_SPHERE,TEMPLATE_SPHERE_LIST_FOR_NOTE,0))</f>
        <v>0</v>
      </c>
      <c s="1008">
        <f>INDEX(TEMPLATE_DATA_POINT_FHD,B81,MATCH(TEMPLATE_SPHERE,TEMPLATE_SPHERE_LIST_FOR_NOTE,0))</f>
        <v>0</v>
      </c>
      <c s="1008">
        <f>INDEX(TEMPLATE_NOTE_POINT_FHD,B81,MATCH(TEMPLATE_SPHERE,TEMPLATE_SPHERE_LIST_FOR_NOTE,0))</f>
        <v>0</v>
      </c>
      <c s="847" t="str">
        <f>IF(I81=0,"",I81)</f>
        <v/>
      </c>
      <c s="847" t="str">
        <f>IF(J81=0,"",J81)</f>
        <v/>
      </c>
      <c s="847" t="str">
        <f>IF(K81=0,"",K81)</f>
        <v/>
      </c>
      <c s="960" t="s">
        <v>2068</v>
      </c>
      <c s="960"/>
      <c s="960"/>
      <c s="960"/>
      <c s="960"/>
      <c s="846" t="s">
        <v>2186</v>
      </c>
      <c s="846"/>
      <c s="846"/>
      <c s="846"/>
      <c s="846"/>
      <c s="1003"/>
      <c s="849" t="s">
        <v>2187</v>
      </c>
      <c s="852"/>
      <c s="849"/>
      <c s="849"/>
      <c s="849"/>
    </row>
    <row r="82" spans="1:30" ht="90" customHeight="1">
      <c r="A82" s="848"/>
      <c s="902">
        <v>65</v>
      </c>
      <c s="846" t="s">
        <v>2171</v>
      </c>
      <c s="970"/>
      <c s="846"/>
      <c s="846"/>
      <c s="846"/>
      <c s="894"/>
      <c s="1008">
        <f>INDEX(TEMPLATE_NUMBER_POINT_FHD,B82,MATCH(TEMPLATE_SPHERE,TEMPLATE_SPHERE_LIST_FOR_NOTE,0))</f>
        <v>0</v>
      </c>
      <c s="1008">
        <f>INDEX(TEMPLATE_DATA_POINT_FHD,B82,MATCH(TEMPLATE_SPHERE,TEMPLATE_SPHERE_LIST_FOR_NOTE,0))</f>
        <v>0</v>
      </c>
      <c s="1008">
        <f>INDEX(TEMPLATE_NOTE_POINT_FHD,B82,MATCH(TEMPLATE_SPHERE,TEMPLATE_SPHERE_LIST_FOR_NOTE,0))</f>
        <v>0</v>
      </c>
      <c s="847" t="str">
        <f>IF(I82=0,"",I82)</f>
        <v/>
      </c>
      <c s="847" t="str">
        <f>IF(J82=0,"",J82)</f>
        <v/>
      </c>
      <c s="847" t="str">
        <f>IF(K82=0,"",K82)</f>
        <v/>
      </c>
      <c s="960" t="s">
        <v>151</v>
      </c>
      <c s="960"/>
      <c s="960"/>
      <c s="960"/>
      <c s="960"/>
      <c s="846" t="s">
        <v>2188</v>
      </c>
      <c s="846"/>
      <c s="846"/>
      <c s="846"/>
      <c s="846"/>
      <c s="1003"/>
      <c s="849" t="s">
        <v>2189</v>
      </c>
      <c s="852"/>
      <c s="849"/>
      <c s="849"/>
      <c s="849"/>
    </row>
    <row r="83" spans="1:30" ht="9" customHeight="1">
      <c r="A83" s="848"/>
      <c s="902">
        <v>66</v>
      </c>
      <c s="846"/>
      <c s="970"/>
      <c s="846"/>
      <c s="846"/>
      <c s="846"/>
      <c s="894"/>
      <c s="1008">
        <f>INDEX(TEMPLATE_NUMBER_POINT_FHD,B83,MATCH(TEMPLATE_SPHERE,TEMPLATE_SPHERE_LIST_FOR_NOTE,0))</f>
        <v>0</v>
      </c>
      <c s="1008">
        <f>INDEX(TEMPLATE_DATA_POINT_FHD,B83,MATCH(TEMPLATE_SPHERE,TEMPLATE_SPHERE_LIST_FOR_NOTE,0))</f>
        <v>0</v>
      </c>
      <c s="1008">
        <f>INDEX(TEMPLATE_NOTE_POINT_FHD,B83,MATCH(TEMPLATE_SPHERE,TEMPLATE_SPHERE_LIST_FOR_NOTE,0))</f>
        <v>0</v>
      </c>
      <c s="847" t="str">
        <f>IF(I83=0,"",I83)</f>
        <v/>
      </c>
      <c s="847" t="str">
        <f>IF(J83=0,"",J83)</f>
        <v/>
      </c>
      <c s="847" t="str">
        <f>IF(K83=0,"",K83)</f>
        <v/>
      </c>
      <c s="960" t="s">
        <v>2077</v>
      </c>
      <c s="960"/>
      <c s="960"/>
      <c s="960"/>
      <c s="960"/>
      <c s="846" t="s">
        <v>2190</v>
      </c>
      <c s="846"/>
      <c s="846"/>
      <c s="846"/>
      <c s="846"/>
      <c s="1003"/>
      <c s="849"/>
      <c s="852"/>
      <c s="849"/>
      <c s="849"/>
      <c s="849"/>
    </row>
    <row r="84" spans="1:30" ht="54" customHeight="1">
      <c r="A84" s="848"/>
      <c s="902">
        <v>67</v>
      </c>
      <c s="846"/>
      <c s="970"/>
      <c s="846"/>
      <c s="846"/>
      <c s="846"/>
      <c s="894"/>
      <c s="1008">
        <f>INDEX(TEMPLATE_NUMBER_POINT_FHD,B84,MATCH(TEMPLATE_SPHERE,TEMPLATE_SPHERE_LIST_FOR_NOTE,0))</f>
        <v>0</v>
      </c>
      <c s="1008">
        <f>INDEX(TEMPLATE_DATA_POINT_FHD,B84,MATCH(TEMPLATE_SPHERE,TEMPLATE_SPHERE_LIST_FOR_NOTE,0))</f>
        <v>0</v>
      </c>
      <c s="1008">
        <f>INDEX(TEMPLATE_NOTE_POINT_FHD,B84,MATCH(TEMPLATE_SPHERE,TEMPLATE_SPHERE_LIST_FOR_NOTE,0))</f>
        <v>0</v>
      </c>
      <c s="847" t="str">
        <f>IF(I84=0,"",I84)</f>
        <v/>
      </c>
      <c s="847" t="str">
        <f>IF(J84=0,"",J84)</f>
        <v/>
      </c>
      <c s="847" t="str">
        <f>IF(K84=0,"",K84)</f>
        <v/>
      </c>
      <c s="960" t="s">
        <v>2191</v>
      </c>
      <c s="960"/>
      <c s="960"/>
      <c s="960"/>
      <c s="960"/>
      <c s="846" t="s">
        <v>2192</v>
      </c>
      <c s="846"/>
      <c s="846"/>
      <c s="846"/>
      <c s="846"/>
      <c s="1003"/>
      <c s="849"/>
      <c s="852"/>
      <c s="849"/>
      <c s="849"/>
      <c s="849"/>
    </row>
    <row r="85" spans="1:30" ht="9" customHeight="1">
      <c r="A85" s="848"/>
      <c s="902">
        <v>68</v>
      </c>
      <c s="846"/>
      <c s="970"/>
      <c s="846"/>
      <c s="846"/>
      <c s="846"/>
      <c s="894"/>
      <c s="1008">
        <f>INDEX(TEMPLATE_NUMBER_POINT_FHD,B85,MATCH(TEMPLATE_SPHERE,TEMPLATE_SPHERE_LIST_FOR_NOTE,0))</f>
        <v>0</v>
      </c>
      <c s="1008">
        <f>INDEX(TEMPLATE_DATA_POINT_FHD,B85,MATCH(TEMPLATE_SPHERE,TEMPLATE_SPHERE_LIST_FOR_NOTE,0))</f>
        <v>0</v>
      </c>
      <c s="1008">
        <f>INDEX(TEMPLATE_NOTE_POINT_FHD,B85,MATCH(TEMPLATE_SPHERE,TEMPLATE_SPHERE_LIST_FOR_NOTE,0))</f>
        <v>0</v>
      </c>
      <c s="847" t="str">
        <f>IF(I85=0,"",I85)</f>
        <v/>
      </c>
      <c s="847" t="str">
        <f>IF(J85=0,"",J85)</f>
        <v/>
      </c>
      <c s="847" t="str">
        <f>IF(K85=0,"",K85)</f>
        <v/>
      </c>
      <c s="960" t="s">
        <v>2081</v>
      </c>
      <c s="960"/>
      <c s="960"/>
      <c s="960"/>
      <c s="960"/>
      <c s="846" t="s">
        <v>2193</v>
      </c>
      <c s="846"/>
      <c s="846"/>
      <c s="846"/>
      <c s="846"/>
      <c s="1003"/>
      <c s="849"/>
      <c s="852"/>
      <c s="849"/>
      <c s="849"/>
      <c s="849"/>
    </row>
    <row r="86" spans="1:30" ht="27" customHeight="1">
      <c r="A86" s="848"/>
      <c s="902">
        <v>69</v>
      </c>
      <c s="846"/>
      <c s="970"/>
      <c s="846"/>
      <c s="846"/>
      <c s="846"/>
      <c s="894"/>
      <c s="1008">
        <f>INDEX(TEMPLATE_NUMBER_POINT_FHD,B86,MATCH(TEMPLATE_SPHERE,TEMPLATE_SPHERE_LIST_FOR_NOTE,0))</f>
        <v>0</v>
      </c>
      <c s="1008">
        <f>INDEX(TEMPLATE_DATA_POINT_FHD,B86,MATCH(TEMPLATE_SPHERE,TEMPLATE_SPHERE_LIST_FOR_NOTE,0))</f>
        <v>0</v>
      </c>
      <c s="1008">
        <f>INDEX(TEMPLATE_NOTE_POINT_FHD,B86,MATCH(TEMPLATE_SPHERE,TEMPLATE_SPHERE_LIST_FOR_NOTE,0))</f>
        <v>0</v>
      </c>
      <c s="847" t="str">
        <f>IF(I86=0,"",I86)</f>
        <v/>
      </c>
      <c s="847" t="str">
        <f>IF(J86=0,"",J86)</f>
        <v/>
      </c>
      <c s="847" t="str">
        <f>IF(K86=0,"",K86)</f>
        <v/>
      </c>
      <c s="960" t="s">
        <v>2194</v>
      </c>
      <c s="960"/>
      <c s="960"/>
      <c s="960"/>
      <c s="960"/>
      <c s="846" t="s">
        <v>2195</v>
      </c>
      <c s="846"/>
      <c s="846"/>
      <c s="846"/>
      <c s="846"/>
      <c s="1003"/>
      <c s="849"/>
      <c s="852"/>
      <c s="849"/>
      <c s="849"/>
      <c s="849"/>
    </row>
    <row r="87" spans="1:30" ht="36" customHeight="1">
      <c r="A87" s="848"/>
      <c s="902">
        <v>70</v>
      </c>
      <c s="846" t="s">
        <v>2196</v>
      </c>
      <c s="970"/>
      <c s="846"/>
      <c s="846"/>
      <c s="846"/>
      <c s="894"/>
      <c s="1008">
        <f>INDEX(TEMPLATE_NUMBER_POINT_FHD,B87,MATCH(TEMPLATE_SPHERE,TEMPLATE_SPHERE_LIST_FOR_NOTE,0))</f>
        <v>0</v>
      </c>
      <c s="1008">
        <f>INDEX(TEMPLATE_DATA_POINT_FHD,B87,MATCH(TEMPLATE_SPHERE,TEMPLATE_SPHERE_LIST_FOR_NOTE,0))</f>
        <v>0</v>
      </c>
      <c s="1008">
        <f>INDEX(TEMPLATE_NOTE_POINT_FHD,B87,MATCH(TEMPLATE_SPHERE,TEMPLATE_SPHERE_LIST_FOR_NOTE,0))</f>
        <v>0</v>
      </c>
      <c s="847" t="str">
        <f>IF(I87=0,"",I87)</f>
        <v/>
      </c>
      <c s="847" t="str">
        <f>IF(J87=0,"",J87)</f>
        <v/>
      </c>
      <c s="847" t="str">
        <f>IF(K87=0,"",K87)</f>
        <v/>
      </c>
      <c s="960" t="s">
        <v>152</v>
      </c>
      <c s="960"/>
      <c s="960"/>
      <c s="960"/>
      <c s="960"/>
      <c s="846" t="s">
        <v>2197</v>
      </c>
      <c s="846"/>
      <c s="846"/>
      <c s="846"/>
      <c s="846"/>
      <c s="1003"/>
      <c s="849"/>
      <c s="852"/>
      <c s="849"/>
      <c s="849"/>
      <c s="849"/>
    </row>
    <row r="88" spans="1:30" ht="18" customHeight="1">
      <c r="A88" s="848"/>
      <c s="902">
        <v>71</v>
      </c>
      <c s="846" t="s">
        <v>2198</v>
      </c>
      <c s="970"/>
      <c s="846"/>
      <c s="846"/>
      <c s="846"/>
      <c s="894"/>
      <c s="1008">
        <f>INDEX(TEMPLATE_NUMBER_POINT_FHD,B88,MATCH(TEMPLATE_SPHERE,TEMPLATE_SPHERE_LIST_FOR_NOTE,0))</f>
        <v>0</v>
      </c>
      <c s="1008">
        <f>INDEX(TEMPLATE_DATA_POINT_FHD,B88,MATCH(TEMPLATE_SPHERE,TEMPLATE_SPHERE_LIST_FOR_NOTE,0))</f>
        <v>0</v>
      </c>
      <c s="1008">
        <f>INDEX(TEMPLATE_NOTE_POINT_FHD,B88,MATCH(TEMPLATE_SPHERE,TEMPLATE_SPHERE_LIST_FOR_NOTE,0))</f>
        <v>0</v>
      </c>
      <c s="847" t="str">
        <f>IF(I88=0,"",I88)</f>
        <v/>
      </c>
      <c s="847" t="str">
        <f>IF(J88=0,"",J88)</f>
        <v/>
      </c>
      <c s="847" t="str">
        <f>IF(K88=0,"",K88)</f>
        <v/>
      </c>
      <c s="960" t="s">
        <v>153</v>
      </c>
      <c s="960"/>
      <c s="960"/>
      <c s="960"/>
      <c s="960"/>
      <c s="846" t="s">
        <v>666</v>
      </c>
      <c s="846"/>
      <c s="846"/>
      <c s="846"/>
      <c s="846"/>
      <c s="1003"/>
      <c s="849"/>
      <c s="852"/>
      <c s="849"/>
      <c s="849"/>
      <c s="849"/>
    </row>
    <row r="89" spans="1:30" ht="18" customHeight="1">
      <c r="A89" s="848"/>
      <c s="902">
        <v>72</v>
      </c>
      <c s="846" t="s">
        <v>2199</v>
      </c>
      <c s="970" t="s">
        <v>2196</v>
      </c>
      <c s="846" t="s">
        <v>2196</v>
      </c>
      <c s="846" t="s">
        <v>2162</v>
      </c>
      <c s="846"/>
      <c s="894"/>
      <c s="1008" t="str">
        <f>INDEX(TEMPLATE_NUMBER_POINT_FHD,B89,MATCH(TEMPLATE_SPHERE,TEMPLATE_SPHERE_LIST_FOR_NOTE,0))</f>
        <v>10</v>
      </c>
      <c s="1008" t="str">
        <f>INDEX(TEMPLATE_DATA_POINT_FHD,B89,MATCH(TEMPLATE_SPHERE,TEMPLATE_SPHERE_LIST_FOR_NOTE,0))</f>
        <v>Среднесписочная численность основного производственного персонала</v>
      </c>
      <c s="1008">
        <f>INDEX(TEMPLATE_NOTE_POINT_FHD,B89,MATCH(TEMPLATE_SPHERE,TEMPLATE_SPHERE_LIST_FOR_NOTE,0))</f>
        <v>0</v>
      </c>
      <c s="847" t="str">
        <f>IF(I89=0,"",I89)</f>
        <v>10</v>
      </c>
      <c s="847" t="str">
        <f>IF(J89=0,"",J89)</f>
        <v>Среднесписочная численность основного производственного персонала</v>
      </c>
      <c s="847" t="str">
        <f>IF(K89=0,"",K89)</f>
        <v/>
      </c>
      <c s="960" t="s">
        <v>154</v>
      </c>
      <c s="960" t="s">
        <v>153</v>
      </c>
      <c s="960" t="s">
        <v>153</v>
      </c>
      <c s="960" t="s">
        <v>151</v>
      </c>
      <c s="960"/>
      <c s="846" t="s">
        <v>674</v>
      </c>
      <c s="846" t="s">
        <v>674</v>
      </c>
      <c s="846" t="s">
        <v>674</v>
      </c>
      <c s="846" t="s">
        <v>674</v>
      </c>
      <c s="846"/>
      <c s="1003"/>
      <c s="849"/>
      <c s="852"/>
      <c s="849"/>
      <c s="849"/>
      <c s="849"/>
    </row>
    <row r="90" spans="1:30" ht="27" customHeight="1">
      <c r="A90" s="848"/>
      <c s="902">
        <v>73</v>
      </c>
      <c s="846" t="s">
        <v>2200</v>
      </c>
      <c s="970"/>
      <c s="846"/>
      <c s="846"/>
      <c s="846"/>
      <c s="894"/>
      <c s="1008">
        <f>INDEX(TEMPLATE_NUMBER_POINT_FHD,B90,MATCH(TEMPLATE_SPHERE,TEMPLATE_SPHERE_LIST_FOR_NOTE,0))</f>
        <v>0</v>
      </c>
      <c s="1008">
        <f>INDEX(TEMPLATE_DATA_POINT_FHD,B90,MATCH(TEMPLATE_SPHERE,TEMPLATE_SPHERE_LIST_FOR_NOTE,0))</f>
        <v>0</v>
      </c>
      <c s="1008">
        <f>INDEX(TEMPLATE_NOTE_POINT_FHD,B90,MATCH(TEMPLATE_SPHERE,TEMPLATE_SPHERE_LIST_FOR_NOTE,0))</f>
        <v>0</v>
      </c>
      <c s="847" t="str">
        <f>IF(I90=0,"",I90)</f>
        <v/>
      </c>
      <c s="847" t="str">
        <f>IF(J90=0,"",J90)</f>
        <v/>
      </c>
      <c s="847" t="str">
        <f>IF(K90=0,"",K90)</f>
        <v/>
      </c>
      <c s="960" t="s">
        <v>155</v>
      </c>
      <c s="960"/>
      <c s="960"/>
      <c s="960"/>
      <c s="960"/>
      <c s="846" t="s">
        <v>676</v>
      </c>
      <c s="846"/>
      <c s="846"/>
      <c s="846"/>
      <c s="846"/>
      <c s="1003"/>
      <c s="849"/>
      <c s="852"/>
      <c s="849"/>
      <c s="849"/>
      <c s="849"/>
    </row>
    <row r="91" spans="1:30" ht="18" customHeight="1">
      <c r="A91" s="848"/>
      <c s="902">
        <v>74</v>
      </c>
      <c s="846"/>
      <c s="970" t="s">
        <v>2198</v>
      </c>
      <c s="846" t="s">
        <v>2198</v>
      </c>
      <c s="846"/>
      <c s="846"/>
      <c s="894"/>
      <c s="1008">
        <f>INDEX(TEMPLATE_NUMBER_POINT_FHD,B91,MATCH(TEMPLATE_SPHERE,TEMPLATE_SPHERE_LIST_FOR_NOTE,0))</f>
        <v>0</v>
      </c>
      <c s="1008">
        <f>INDEX(TEMPLATE_DATA_POINT_FHD,B91,MATCH(TEMPLATE_SPHERE,TEMPLATE_SPHERE_LIST_FOR_NOTE,0))</f>
        <v>0</v>
      </c>
      <c s="1008">
        <f>INDEX(TEMPLATE_NOTE_POINT_FHD,B91,MATCH(TEMPLATE_SPHERE,TEMPLATE_SPHERE_LIST_FOR_NOTE,0))</f>
        <v>0</v>
      </c>
      <c s="847" t="str">
        <f>IF(I91=0,"",I91)</f>
        <v/>
      </c>
      <c s="847" t="str">
        <f>IF(J91=0,"",J91)</f>
        <v/>
      </c>
      <c s="847" t="str">
        <f>IF(K91=0,"",K91)</f>
        <v/>
      </c>
      <c s="960"/>
      <c s="960" t="s">
        <v>154</v>
      </c>
      <c s="960" t="s">
        <v>154</v>
      </c>
      <c s="960"/>
      <c s="960"/>
      <c s="846"/>
      <c s="846" t="s">
        <v>2201</v>
      </c>
      <c s="846" t="s">
        <v>2201</v>
      </c>
      <c s="846"/>
      <c s="846"/>
      <c s="1003"/>
      <c s="849"/>
      <c s="852"/>
      <c s="849"/>
      <c s="849"/>
      <c s="849"/>
    </row>
    <row r="92" spans="1:30" ht="27" customHeight="1">
      <c r="A92" s="848"/>
      <c s="902">
        <v>75</v>
      </c>
      <c s="846"/>
      <c s="970" t="s">
        <v>2199</v>
      </c>
      <c s="846"/>
      <c s="846"/>
      <c s="846"/>
      <c s="894"/>
      <c s="1008">
        <f>INDEX(TEMPLATE_NUMBER_POINT_FHD,B92,MATCH(TEMPLATE_SPHERE,TEMPLATE_SPHERE_LIST_FOR_NOTE,0))</f>
        <v>0</v>
      </c>
      <c s="1008">
        <f>INDEX(TEMPLATE_DATA_POINT_FHD,B92,MATCH(TEMPLATE_SPHERE,TEMPLATE_SPHERE_LIST_FOR_NOTE,0))</f>
        <v>0</v>
      </c>
      <c s="1008">
        <f>INDEX(TEMPLATE_NOTE_POINT_FHD,B92,MATCH(TEMPLATE_SPHERE,TEMPLATE_SPHERE_LIST_FOR_NOTE,0))</f>
        <v>0</v>
      </c>
      <c s="847" t="str">
        <f>IF(I92=0,"",I92)</f>
        <v/>
      </c>
      <c s="847" t="str">
        <f>IF(J92=0,"",J92)</f>
        <v/>
      </c>
      <c s="847" t="str">
        <f>IF(K92=0,"",K92)</f>
        <v/>
      </c>
      <c s="960"/>
      <c s="960" t="s">
        <v>155</v>
      </c>
      <c s="960"/>
      <c s="960"/>
      <c s="960"/>
      <c s="846"/>
      <c s="846" t="s">
        <v>2202</v>
      </c>
      <c s="846"/>
      <c s="846"/>
      <c s="846"/>
      <c s="1003"/>
      <c s="849"/>
      <c s="852" t="s">
        <v>2203</v>
      </c>
      <c s="849"/>
      <c s="849"/>
      <c s="849"/>
    </row>
    <row r="93" spans="1:30" ht="27" customHeight="1">
      <c r="A93" s="848"/>
      <c s="902">
        <v>76</v>
      </c>
      <c s="846"/>
      <c s="970"/>
      <c s="846"/>
      <c s="846"/>
      <c s="846"/>
      <c s="894"/>
      <c s="1008">
        <f>INDEX(TEMPLATE_NUMBER_POINT_FHD,B93,MATCH(TEMPLATE_SPHERE,TEMPLATE_SPHERE_LIST_FOR_NOTE,0))</f>
        <v>0</v>
      </c>
      <c s="1008">
        <f>INDEX(TEMPLATE_DATA_POINT_FHD,B93,MATCH(TEMPLATE_SPHERE,TEMPLATE_SPHERE_LIST_FOR_NOTE,0))</f>
        <v>0</v>
      </c>
      <c s="1008">
        <f>INDEX(TEMPLATE_NOTE_POINT_FHD,B93,MATCH(TEMPLATE_SPHERE,TEMPLATE_SPHERE_LIST_FOR_NOTE,0))</f>
        <v>0</v>
      </c>
      <c s="847" t="str">
        <f>IF(I93=0,"",I93)</f>
        <v/>
      </c>
      <c s="847" t="str">
        <f>IF(J93=0,"",J93)</f>
        <v/>
      </c>
      <c s="847" t="str">
        <f>IF(K93=0,"",K93)</f>
        <v/>
      </c>
      <c s="960"/>
      <c s="960" t="s">
        <v>2109</v>
      </c>
      <c s="960"/>
      <c s="960"/>
      <c s="960"/>
      <c s="846"/>
      <c s="846" t="s">
        <v>2204</v>
      </c>
      <c s="846"/>
      <c s="846"/>
      <c s="846"/>
      <c s="1003"/>
      <c s="849"/>
      <c s="852" t="s">
        <v>2205</v>
      </c>
      <c s="849"/>
      <c s="849"/>
      <c s="849"/>
    </row>
    <row r="94" spans="1:30" ht="45" customHeight="1">
      <c r="A94" s="848"/>
      <c s="902">
        <v>77</v>
      </c>
      <c s="846"/>
      <c s="970" t="s">
        <v>2200</v>
      </c>
      <c s="846"/>
      <c s="846"/>
      <c s="846"/>
      <c s="894"/>
      <c s="1008">
        <f>INDEX(TEMPLATE_NUMBER_POINT_FHD,B94,MATCH(TEMPLATE_SPHERE,TEMPLATE_SPHERE_LIST_FOR_NOTE,0))</f>
        <v>0</v>
      </c>
      <c s="1008">
        <f>INDEX(TEMPLATE_DATA_POINT_FHD,B94,MATCH(TEMPLATE_SPHERE,TEMPLATE_SPHERE_LIST_FOR_NOTE,0))</f>
        <v>0</v>
      </c>
      <c s="1008">
        <f>INDEX(TEMPLATE_NOTE_POINT_FHD,B94,MATCH(TEMPLATE_SPHERE,TEMPLATE_SPHERE_LIST_FOR_NOTE,0))</f>
        <v>0</v>
      </c>
      <c s="847" t="str">
        <f>IF(I94=0,"",I94)</f>
        <v/>
      </c>
      <c s="847" t="str">
        <f>IF(J94=0,"",J94)</f>
        <v/>
      </c>
      <c s="847" t="str">
        <f>IF(K94=0,"",K94)</f>
        <v/>
      </c>
      <c s="960"/>
      <c s="960" t="s">
        <v>1463</v>
      </c>
      <c s="960"/>
      <c s="960"/>
      <c s="960"/>
      <c s="846"/>
      <c s="846" t="s">
        <v>2206</v>
      </c>
      <c s="846"/>
      <c s="846"/>
      <c s="846"/>
      <c s="1003"/>
      <c s="849"/>
      <c s="852" t="s">
        <v>2207</v>
      </c>
      <c s="849"/>
      <c s="849"/>
      <c s="849"/>
    </row>
    <row r="95" spans="1:30" ht="99" customHeight="1">
      <c r="A95" s="848"/>
      <c s="902">
        <v>78</v>
      </c>
      <c s="846" t="s">
        <v>2208</v>
      </c>
      <c s="970"/>
      <c s="846"/>
      <c s="846"/>
      <c s="846"/>
      <c s="894"/>
      <c s="1008">
        <f>INDEX(TEMPLATE_NUMBER_POINT_FHD,B95,MATCH(TEMPLATE_SPHERE,TEMPLATE_SPHERE_LIST_FOR_NOTE,0))</f>
        <v>0</v>
      </c>
      <c s="1008">
        <f>INDEX(TEMPLATE_DATA_POINT_FHD,B95,MATCH(TEMPLATE_SPHERE,TEMPLATE_SPHERE_LIST_FOR_NOTE,0))</f>
        <v>0</v>
      </c>
      <c s="1008">
        <f>INDEX(TEMPLATE_NOTE_POINT_FHD,B95,MATCH(TEMPLATE_SPHERE,TEMPLATE_SPHERE_LIST_FOR_NOTE,0))</f>
        <v>0</v>
      </c>
      <c s="847" t="str">
        <f>IF(I95=0,"",I95)</f>
        <v/>
      </c>
      <c s="847" t="str">
        <f>IF(J95=0,"",J95)</f>
        <v/>
      </c>
      <c s="847" t="str">
        <f>IF(K95=0,"",K95)</f>
        <v/>
      </c>
      <c s="960" t="s">
        <v>1463</v>
      </c>
      <c s="960"/>
      <c s="960"/>
      <c s="960"/>
      <c s="960"/>
      <c s="846" t="s">
        <v>2209</v>
      </c>
      <c s="846"/>
      <c s="846"/>
      <c s="846"/>
      <c s="846"/>
      <c s="1003"/>
      <c s="849"/>
      <c s="852"/>
      <c s="849"/>
      <c s="849"/>
      <c s="849"/>
    </row>
    <row r="96" spans="1:30" ht="99" customHeight="1">
      <c r="A96" s="848"/>
      <c s="902">
        <v>79</v>
      </c>
      <c s="846" t="s">
        <v>1149</v>
      </c>
      <c s="970"/>
      <c s="846"/>
      <c s="846"/>
      <c s="846"/>
      <c s="894"/>
      <c s="1008">
        <f>INDEX(TEMPLATE_NUMBER_POINT_FHD,B96,MATCH(TEMPLATE_SPHERE,TEMPLATE_SPHERE_LIST_FOR_NOTE,0))</f>
        <v>0</v>
      </c>
      <c s="1008">
        <f>INDEX(TEMPLATE_DATA_POINT_FHD,B96,MATCH(TEMPLATE_SPHERE,TEMPLATE_SPHERE_LIST_FOR_NOTE,0))</f>
        <v>0</v>
      </c>
      <c s="1008">
        <f>INDEX(TEMPLATE_NOTE_POINT_FHD,B96,MATCH(TEMPLATE_SPHERE,TEMPLATE_SPHERE_LIST_FOR_NOTE,0))</f>
        <v>0</v>
      </c>
      <c s="847" t="str">
        <f>IF(I96=0,"",I96)</f>
        <v/>
      </c>
      <c s="847" t="str">
        <f>IF(J96=0,"",J96)</f>
        <v/>
      </c>
      <c s="847" t="str">
        <f>IF(K96=0,"",K96)</f>
        <v/>
      </c>
      <c s="960" t="s">
        <v>1469</v>
      </c>
      <c s="960"/>
      <c s="960"/>
      <c s="960"/>
      <c s="960"/>
      <c s="846" t="s">
        <v>2210</v>
      </c>
      <c s="846"/>
      <c s="846"/>
      <c s="846"/>
      <c s="846"/>
      <c s="1003"/>
      <c s="849" t="s">
        <v>2211</v>
      </c>
      <c s="852"/>
      <c s="849"/>
      <c s="849"/>
      <c s="849"/>
    </row>
    <row r="97" spans="1:30" ht="63" customHeight="1">
      <c r="A97" s="848"/>
      <c s="902">
        <v>80</v>
      </c>
      <c s="846" t="s">
        <v>2212</v>
      </c>
      <c s="970"/>
      <c s="846"/>
      <c s="846"/>
      <c s="846"/>
      <c s="894"/>
      <c s="1008">
        <f>INDEX(TEMPLATE_NUMBER_POINT_FHD,B97,MATCH(TEMPLATE_SPHERE,TEMPLATE_SPHERE_LIST_FOR_NOTE,0))</f>
        <v>0</v>
      </c>
      <c s="1008">
        <f>INDEX(TEMPLATE_DATA_POINT_FHD,B97,MATCH(TEMPLATE_SPHERE,TEMPLATE_SPHERE_LIST_FOR_NOTE,0))</f>
        <v>0</v>
      </c>
      <c s="1008">
        <f>INDEX(TEMPLATE_NOTE_POINT_FHD,B97,MATCH(TEMPLATE_SPHERE,TEMPLATE_SPHERE_LIST_FOR_NOTE,0))</f>
        <v>0</v>
      </c>
      <c s="847" t="str">
        <f>IF(I97=0,"",I97)</f>
        <v/>
      </c>
      <c s="847" t="str">
        <f>IF(J97=0,"",J97)</f>
        <v/>
      </c>
      <c s="847" t="str">
        <f>IF(K97=0,"",K97)</f>
        <v/>
      </c>
      <c s="960" t="s">
        <v>1481</v>
      </c>
      <c s="960"/>
      <c s="960"/>
      <c s="960"/>
      <c s="960"/>
      <c s="846" t="s">
        <v>2213</v>
      </c>
      <c s="846"/>
      <c s="846"/>
      <c s="846"/>
      <c s="846"/>
      <c s="1003"/>
      <c s="849" t="s">
        <v>2214</v>
      </c>
      <c s="852"/>
      <c s="849"/>
      <c s="849"/>
      <c s="849"/>
    </row>
    <row r="98" spans="1:30" ht="63" customHeight="1">
      <c r="A98" s="848"/>
      <c s="902">
        <v>81</v>
      </c>
      <c s="846" t="s">
        <v>2215</v>
      </c>
      <c s="970"/>
      <c s="846"/>
      <c s="846"/>
      <c s="846"/>
      <c s="894"/>
      <c s="1008">
        <f>INDEX(TEMPLATE_NUMBER_POINT_FHD,B98,MATCH(TEMPLATE_SPHERE,TEMPLATE_SPHERE_LIST_FOR_NOTE,0))</f>
        <v>0</v>
      </c>
      <c s="1008">
        <f>INDEX(TEMPLATE_DATA_POINT_FHD,B98,MATCH(TEMPLATE_SPHERE,TEMPLATE_SPHERE_LIST_FOR_NOTE,0))</f>
        <v>0</v>
      </c>
      <c s="1008">
        <f>INDEX(TEMPLATE_NOTE_POINT_FHD,B98,MATCH(TEMPLATE_SPHERE,TEMPLATE_SPHERE_LIST_FOR_NOTE,0))</f>
        <v>0</v>
      </c>
      <c s="847" t="str">
        <f>IF(I98=0,"",I98)</f>
        <v/>
      </c>
      <c s="847" t="str">
        <f>IF(J98=0,"",J98)</f>
        <v/>
      </c>
      <c s="847" t="str">
        <f>IF(K98=0,"",K98)</f>
        <v/>
      </c>
      <c s="960" t="s">
        <v>1495</v>
      </c>
      <c s="960"/>
      <c s="960"/>
      <c s="960"/>
      <c s="960"/>
      <c s="846" t="s">
        <v>2216</v>
      </c>
      <c s="846"/>
      <c s="846"/>
      <c s="846"/>
      <c s="846"/>
      <c s="1003"/>
      <c s="849" t="s">
        <v>2214</v>
      </c>
      <c s="852"/>
      <c s="849"/>
      <c s="849"/>
      <c s="849"/>
    </row>
    <row r="99" spans="1:30" ht="90" customHeight="1">
      <c r="A99" s="848"/>
      <c s="902">
        <v>82</v>
      </c>
      <c s="846" t="s">
        <v>2217</v>
      </c>
      <c s="970"/>
      <c s="846"/>
      <c s="846"/>
      <c s="846"/>
      <c s="894"/>
      <c s="1008">
        <f>INDEX(TEMPLATE_NUMBER_POINT_FHD,B99,MATCH(TEMPLATE_SPHERE,TEMPLATE_SPHERE_LIST_FOR_NOTE,0))</f>
        <v>0</v>
      </c>
      <c s="1008">
        <f>INDEX(TEMPLATE_DATA_POINT_FHD,B99,MATCH(TEMPLATE_SPHERE,TEMPLATE_SPHERE_LIST_FOR_NOTE,0))</f>
        <v>0</v>
      </c>
      <c s="1008">
        <f>INDEX(TEMPLATE_NOTE_POINT_FHD,B99,MATCH(TEMPLATE_SPHERE,TEMPLATE_SPHERE_LIST_FOR_NOTE,0))</f>
        <v>0</v>
      </c>
      <c s="847" t="str">
        <f>IF(I99=0,"",I99)</f>
        <v/>
      </c>
      <c s="847" t="str">
        <f>IF(J99=0,"",J99)</f>
        <v/>
      </c>
      <c s="847" t="str">
        <f>IF(K99=0,"",K99)</f>
        <v/>
      </c>
      <c s="960" t="s">
        <v>1507</v>
      </c>
      <c s="960"/>
      <c s="960"/>
      <c s="960"/>
      <c s="960"/>
      <c s="846" t="s">
        <v>2218</v>
      </c>
      <c s="846"/>
      <c s="846"/>
      <c s="846"/>
      <c s="846"/>
      <c s="1003"/>
      <c s="849" t="s">
        <v>631</v>
      </c>
      <c s="852"/>
      <c s="849"/>
      <c s="849"/>
      <c s="849"/>
    </row>
    <row r="100" spans="1:30" ht="27" customHeight="1">
      <c r="A100" s="848"/>
      <c s="902">
        <v>83</v>
      </c>
      <c s="846"/>
      <c s="970"/>
      <c s="846"/>
      <c s="846"/>
      <c s="846"/>
      <c s="894"/>
      <c s="1008">
        <f>INDEX(TEMPLATE_NUMBER_POINT_FHD,B100,MATCH(TEMPLATE_SPHERE,TEMPLATE_SPHERE_LIST_FOR_NOTE,0))</f>
        <v>0</v>
      </c>
      <c s="1008">
        <f>INDEX(TEMPLATE_DATA_POINT_FHD,B100,MATCH(TEMPLATE_SPHERE,TEMPLATE_SPHERE_LIST_FOR_NOTE,0))</f>
        <v>0</v>
      </c>
      <c s="1008">
        <f>INDEX(TEMPLATE_NOTE_POINT_FHD,B100,MATCH(TEMPLATE_SPHERE,TEMPLATE_SPHERE_LIST_FOR_NOTE,0))</f>
        <v>0</v>
      </c>
      <c s="847" t="str">
        <f>IF(I100=0,"",I100)</f>
        <v/>
      </c>
      <c s="847" t="str">
        <f>IF(J100=0,"",J100)</f>
        <v/>
      </c>
      <c s="847" t="str">
        <f>IF(K100=0,"",K100)</f>
        <v/>
      </c>
      <c s="960" t="s">
        <v>2219</v>
      </c>
      <c s="960"/>
      <c s="960"/>
      <c s="960"/>
      <c s="960"/>
      <c s="846" t="s">
        <v>2220</v>
      </c>
      <c s="846"/>
      <c s="846"/>
      <c s="846"/>
      <c s="846"/>
      <c s="1003"/>
      <c s="849" t="s">
        <v>631</v>
      </c>
      <c s="852"/>
      <c s="849"/>
      <c s="849"/>
      <c s="849"/>
    </row>
    <row r="101" spans="1:30" ht="27" customHeight="1">
      <c r="A101" s="848"/>
      <c s="902">
        <v>84</v>
      </c>
      <c s="846"/>
      <c s="970"/>
      <c s="846"/>
      <c s="846"/>
      <c s="846"/>
      <c s="894"/>
      <c s="1008">
        <f>INDEX(TEMPLATE_NUMBER_POINT_FHD,B101,MATCH(TEMPLATE_SPHERE,TEMPLATE_SPHERE_LIST_FOR_NOTE,0))</f>
        <v>0</v>
      </c>
      <c s="1008">
        <f>INDEX(TEMPLATE_DATA_POINT_FHD,B101,MATCH(TEMPLATE_SPHERE,TEMPLATE_SPHERE_LIST_FOR_NOTE,0))</f>
        <v>0</v>
      </c>
      <c s="1008">
        <f>INDEX(TEMPLATE_NOTE_POINT_FHD,B101,MATCH(TEMPLATE_SPHERE,TEMPLATE_SPHERE_LIST_FOR_NOTE,0))</f>
        <v>0</v>
      </c>
      <c s="847" t="str">
        <f>IF(I101=0,"",I101)</f>
        <v/>
      </c>
      <c s="847" t="str">
        <f>IF(J101=0,"",J101)</f>
        <v/>
      </c>
      <c s="847" t="str">
        <f>IF(K101=0,"",K101)</f>
        <v/>
      </c>
      <c s="960" t="s">
        <v>2221</v>
      </c>
      <c s="960"/>
      <c s="960"/>
      <c s="960"/>
      <c s="960"/>
      <c s="846" t="s">
        <v>2222</v>
      </c>
      <c s="846"/>
      <c s="846"/>
      <c s="846"/>
      <c s="846"/>
      <c s="1003"/>
      <c s="849" t="s">
        <v>631</v>
      </c>
      <c s="852"/>
      <c s="849"/>
      <c s="849"/>
      <c s="849"/>
    </row>
    <row r="102" spans="1:30" ht="9" customHeight="1">
      <c r="A102" s="848"/>
      <c s="848"/>
      <c s="846"/>
      <c s="846"/>
      <c s="846"/>
      <c s="846"/>
      <c s="846"/>
      <c s="894"/>
      <c s="894"/>
      <c s="894"/>
      <c s="894"/>
      <c s="894"/>
      <c s="846"/>
      <c s="893"/>
      <c s="960"/>
      <c s="960"/>
      <c s="960"/>
      <c s="960"/>
      <c s="846"/>
      <c s="846"/>
      <c s="846"/>
      <c s="846"/>
      <c s="846"/>
      <c s="846"/>
      <c s="1003"/>
      <c s="849"/>
      <c s="852"/>
      <c s="849"/>
      <c s="849"/>
      <c s="849"/>
    </row>
    <row r="103" spans="1:30" ht="9" customHeight="1">
      <c r="A103" s="848"/>
      <c s="848"/>
      <c s="846"/>
      <c s="846"/>
      <c s="846"/>
      <c s="846"/>
      <c s="846"/>
      <c s="894"/>
      <c s="894"/>
      <c s="894"/>
      <c s="894"/>
      <c s="894"/>
      <c s="846"/>
      <c s="893"/>
      <c s="960"/>
      <c s="960"/>
      <c s="960"/>
      <c s="960"/>
      <c s="846"/>
      <c s="846"/>
      <c s="846"/>
      <c s="846"/>
      <c s="846"/>
      <c s="846"/>
      <c s="1003"/>
      <c s="849"/>
      <c s="852"/>
      <c s="849"/>
      <c s="849"/>
      <c s="849"/>
    </row>
    <row r="104" spans="1:30" ht="9" customHeight="1">
      <c r="A104" s="848"/>
      <c s="848"/>
      <c s="846"/>
      <c s="846"/>
      <c s="846"/>
      <c s="846"/>
      <c s="846"/>
      <c s="894"/>
      <c s="894"/>
      <c s="894"/>
      <c s="894"/>
      <c s="894"/>
      <c s="846"/>
      <c s="893"/>
      <c s="960"/>
      <c s="960"/>
      <c s="960"/>
      <c s="960"/>
      <c s="846"/>
      <c s="846"/>
      <c s="846"/>
      <c s="846"/>
      <c s="846"/>
      <c s="846"/>
      <c s="1003"/>
      <c s="849"/>
      <c s="852"/>
      <c s="849"/>
      <c s="849"/>
      <c s="849"/>
    </row>
    <row r="105" spans="1:30" ht="9" customHeight="1">
      <c r="A105" s="848"/>
      <c s="848"/>
      <c s="846"/>
      <c s="846"/>
      <c s="846"/>
      <c s="846"/>
      <c s="846"/>
      <c s="894"/>
      <c s="894"/>
      <c s="894"/>
      <c s="894"/>
      <c s="894"/>
      <c s="846"/>
      <c s="893"/>
      <c s="960"/>
      <c s="960"/>
      <c s="960"/>
      <c s="960"/>
      <c s="846"/>
      <c s="846"/>
      <c s="846"/>
      <c s="846"/>
      <c s="846"/>
      <c s="846"/>
      <c s="1003"/>
      <c s="849"/>
      <c s="852"/>
      <c s="849"/>
      <c s="849"/>
      <c s="849"/>
    </row>
    <row r="106" spans="1:30" ht="9" customHeight="1">
      <c r="A106" s="848"/>
      <c s="848"/>
      <c s="846"/>
      <c s="846"/>
      <c s="846"/>
      <c s="846"/>
      <c s="846"/>
      <c s="894"/>
      <c s="894"/>
      <c s="894"/>
      <c s="894"/>
      <c s="894"/>
      <c s="846"/>
      <c s="893"/>
      <c s="960"/>
      <c s="960"/>
      <c s="960"/>
      <c s="960"/>
      <c s="846"/>
      <c s="846"/>
      <c s="846"/>
      <c s="846"/>
      <c s="846"/>
      <c s="846"/>
      <c s="1003"/>
      <c s="849"/>
      <c s="852"/>
      <c s="849"/>
      <c s="849"/>
      <c s="849"/>
    </row>
    <row r="107" spans="1:30" ht="9" customHeight="1">
      <c r="A107" s="848"/>
      <c s="848"/>
      <c s="846"/>
      <c s="846"/>
      <c s="846"/>
      <c s="846"/>
      <c s="846"/>
      <c s="894"/>
      <c s="894"/>
      <c s="894"/>
      <c s="894"/>
      <c s="894"/>
      <c s="846"/>
      <c s="893"/>
      <c s="960"/>
      <c s="960"/>
      <c s="960"/>
      <c s="960"/>
      <c s="846"/>
      <c s="846"/>
      <c s="846"/>
      <c s="846"/>
      <c s="846"/>
      <c s="846"/>
      <c s="1003"/>
      <c s="849"/>
      <c s="852"/>
      <c s="849"/>
      <c s="849"/>
      <c s="849"/>
    </row>
    <row r="108" spans="1:30" ht="9" customHeight="1">
      <c r="A108" s="848"/>
      <c s="848"/>
      <c s="846"/>
      <c s="846"/>
      <c s="846"/>
      <c s="846"/>
      <c s="846"/>
      <c s="894"/>
      <c s="894"/>
      <c s="894"/>
      <c s="894"/>
      <c s="894"/>
      <c s="846"/>
      <c s="893"/>
      <c s="960"/>
      <c s="960"/>
      <c s="960"/>
      <c s="960"/>
      <c s="846"/>
      <c s="846"/>
      <c s="846"/>
      <c s="846"/>
      <c s="846"/>
      <c s="846"/>
      <c s="1003"/>
      <c s="849"/>
      <c s="852"/>
      <c s="849"/>
      <c s="849"/>
      <c s="849"/>
    </row>
    <row r="109" spans="1:30" ht="9" customHeight="1">
      <c r="A109" s="848"/>
      <c s="848"/>
      <c s="846"/>
      <c s="846"/>
      <c s="846"/>
      <c s="846"/>
      <c s="846"/>
      <c s="894"/>
      <c s="894"/>
      <c s="894"/>
      <c s="894"/>
      <c s="894"/>
      <c s="846"/>
      <c s="893"/>
      <c s="960"/>
      <c s="960"/>
      <c s="960"/>
      <c s="960"/>
      <c s="846"/>
      <c s="846"/>
      <c s="846"/>
      <c s="846"/>
      <c s="846"/>
      <c s="846"/>
      <c s="1003"/>
      <c s="849"/>
      <c s="852"/>
      <c s="849"/>
      <c s="849"/>
      <c s="849"/>
    </row>
    <row r="110" spans="1:30" ht="9" customHeight="1">
      <c r="A110" s="848"/>
      <c s="848"/>
      <c s="846"/>
      <c s="846"/>
      <c s="846"/>
      <c s="846"/>
      <c s="846"/>
      <c s="894"/>
      <c s="894"/>
      <c s="894"/>
      <c s="894"/>
      <c s="894"/>
      <c s="846"/>
      <c s="893"/>
      <c s="960"/>
      <c s="960"/>
      <c s="960"/>
      <c s="960"/>
      <c s="846"/>
      <c s="846"/>
      <c s="846"/>
      <c s="846"/>
      <c s="846"/>
      <c s="846"/>
      <c s="1003"/>
      <c s="849"/>
      <c s="852"/>
      <c s="849"/>
      <c s="849"/>
      <c s="849"/>
    </row>
    <row r="111" spans="1:30" ht="9" customHeight="1">
      <c r="A111" s="848"/>
      <c s="848"/>
      <c s="846"/>
      <c s="846"/>
      <c s="846"/>
      <c s="846"/>
      <c s="846"/>
      <c s="894"/>
      <c s="894"/>
      <c s="894"/>
      <c s="894"/>
      <c s="894"/>
      <c s="846"/>
      <c s="893"/>
      <c s="960"/>
      <c s="960"/>
      <c s="960"/>
      <c s="960"/>
      <c s="846"/>
      <c s="846"/>
      <c s="846"/>
      <c s="846"/>
      <c s="846"/>
      <c s="846"/>
      <c s="1003"/>
      <c s="849"/>
      <c s="852"/>
      <c s="849"/>
      <c s="849"/>
      <c s="849"/>
    </row>
    <row r="112" spans="1:30" ht="9" customHeight="1">
      <c r="A112" s="848"/>
      <c s="848"/>
      <c s="846"/>
      <c s="846"/>
      <c s="846"/>
      <c s="846"/>
      <c s="846"/>
      <c s="894"/>
      <c s="894"/>
      <c s="894"/>
      <c s="894"/>
      <c s="894"/>
      <c s="846"/>
      <c s="893"/>
      <c s="960"/>
      <c s="960"/>
      <c s="960"/>
      <c s="960"/>
      <c s="846"/>
      <c s="846"/>
      <c s="846"/>
      <c s="846"/>
      <c s="846"/>
      <c s="846"/>
      <c s="1003"/>
      <c s="849"/>
      <c s="852"/>
      <c s="849"/>
      <c s="849"/>
      <c s="849"/>
    </row>
    <row r="113" spans="1:30" ht="9" customHeight="1">
      <c r="A113" s="848"/>
      <c s="848"/>
      <c s="846"/>
      <c s="846"/>
      <c s="846"/>
      <c s="846"/>
      <c s="846"/>
      <c s="894"/>
      <c s="894"/>
      <c s="894"/>
      <c s="894"/>
      <c s="894"/>
      <c s="846"/>
      <c s="893"/>
      <c s="960"/>
      <c s="960"/>
      <c s="960"/>
      <c s="960"/>
      <c s="846"/>
      <c s="846"/>
      <c s="846"/>
      <c s="846"/>
      <c s="846"/>
      <c s="846"/>
      <c s="1003"/>
      <c s="849"/>
      <c s="852"/>
      <c s="849"/>
      <c s="849"/>
      <c s="849"/>
    </row>
    <row r="114" spans="1:30" ht="9" customHeight="1">
      <c r="A114" s="848"/>
      <c s="848"/>
      <c s="846"/>
      <c s="846"/>
      <c s="846"/>
      <c s="846"/>
      <c s="846"/>
      <c s="894"/>
      <c s="894"/>
      <c s="894"/>
      <c s="894"/>
      <c s="894"/>
      <c s="846"/>
      <c s="893"/>
      <c s="960"/>
      <c s="960"/>
      <c s="960"/>
      <c s="960"/>
      <c s="846"/>
      <c s="846"/>
      <c s="846"/>
      <c s="846"/>
      <c s="846"/>
      <c s="846"/>
      <c s="1003"/>
      <c s="849"/>
      <c s="852"/>
      <c s="849"/>
      <c s="849"/>
      <c s="849"/>
    </row>
    <row r="115" spans="1:30" ht="9" customHeight="1">
      <c r="A115" s="848"/>
      <c s="848"/>
      <c s="846"/>
      <c s="846"/>
      <c s="846"/>
      <c s="846"/>
      <c s="846"/>
      <c s="894"/>
      <c s="894"/>
      <c s="894"/>
      <c s="894"/>
      <c s="894"/>
      <c s="846"/>
      <c s="893"/>
      <c s="960"/>
      <c s="960"/>
      <c s="960"/>
      <c s="960"/>
      <c s="846"/>
      <c s="846"/>
      <c s="846"/>
      <c s="846"/>
      <c s="846"/>
      <c s="846"/>
      <c s="1003"/>
      <c s="849"/>
      <c s="852"/>
      <c s="849"/>
      <c s="849"/>
      <c s="849"/>
    </row>
    <row r="116" spans="1:30" ht="9" customHeight="1">
      <c r="A116" s="848"/>
      <c s="848"/>
      <c s="846"/>
      <c s="846"/>
      <c s="846"/>
      <c s="846"/>
      <c s="846"/>
      <c s="894"/>
      <c s="894"/>
      <c s="894"/>
      <c s="894"/>
      <c s="894"/>
      <c s="846"/>
      <c s="893"/>
      <c s="960"/>
      <c s="960"/>
      <c s="960"/>
      <c s="960"/>
      <c s="846"/>
      <c s="846"/>
      <c s="846"/>
      <c s="846"/>
      <c s="846"/>
      <c s="846"/>
      <c s="1003"/>
      <c s="849"/>
      <c s="852"/>
      <c s="849"/>
      <c s="849"/>
      <c s="849"/>
    </row>
    <row r="117" spans="1:30" ht="9" customHeight="1">
      <c r="A117" s="848"/>
      <c s="848"/>
      <c s="846"/>
      <c s="846"/>
      <c s="846"/>
      <c s="846"/>
      <c s="846"/>
      <c s="894"/>
      <c s="894"/>
      <c s="894"/>
      <c s="894"/>
      <c s="894"/>
      <c s="846"/>
      <c s="893"/>
      <c s="960"/>
      <c s="960"/>
      <c s="960"/>
      <c s="960"/>
      <c s="846"/>
      <c s="846"/>
      <c s="846"/>
      <c s="846"/>
      <c s="846"/>
      <c s="846"/>
      <c s="1003"/>
      <c s="849"/>
      <c s="852"/>
      <c s="849"/>
      <c s="849"/>
      <c s="849"/>
    </row>
    <row r="118" spans="1:30" ht="9" customHeight="1">
      <c r="A118" s="848"/>
      <c s="848"/>
      <c s="846"/>
      <c s="846"/>
      <c s="846"/>
      <c s="846"/>
      <c s="846"/>
      <c s="894"/>
      <c s="894"/>
      <c s="894"/>
      <c s="894"/>
      <c s="894"/>
      <c s="846"/>
      <c s="893"/>
      <c s="960"/>
      <c s="960"/>
      <c s="960"/>
      <c s="960"/>
      <c s="846"/>
      <c s="846"/>
      <c s="846"/>
      <c s="846"/>
      <c s="846"/>
      <c s="846"/>
      <c s="1003"/>
      <c s="849"/>
      <c s="852"/>
      <c s="849"/>
      <c s="849"/>
      <c s="849"/>
    </row>
    <row r="119" spans="1:30" ht="9" customHeight="1">
      <c r="A119" s="848"/>
      <c s="848"/>
      <c s="846"/>
      <c s="846"/>
      <c s="846"/>
      <c s="846"/>
      <c s="846"/>
      <c s="894"/>
      <c s="894"/>
      <c s="894"/>
      <c s="894"/>
      <c s="894"/>
      <c s="846"/>
      <c s="893"/>
      <c s="960"/>
      <c s="960"/>
      <c s="960"/>
      <c s="960"/>
      <c s="846"/>
      <c s="846"/>
      <c s="846"/>
      <c s="846"/>
      <c s="846"/>
      <c s="846"/>
      <c s="1003"/>
      <c s="849"/>
      <c s="852"/>
      <c s="849"/>
      <c s="849"/>
      <c s="849"/>
    </row>
    <row r="120" spans="1:30" ht="9" customHeight="1">
      <c r="A120" s="848"/>
      <c s="848"/>
      <c s="846"/>
      <c s="846"/>
      <c s="846"/>
      <c s="846"/>
      <c s="846"/>
      <c s="894"/>
      <c s="894"/>
      <c s="894"/>
      <c s="894"/>
      <c s="894"/>
      <c s="846"/>
      <c s="893"/>
      <c s="960"/>
      <c s="960"/>
      <c s="960"/>
      <c s="960"/>
      <c s="846"/>
      <c s="846"/>
      <c s="846"/>
      <c s="846"/>
      <c s="846"/>
      <c s="846"/>
      <c s="1003"/>
      <c s="849"/>
      <c s="852"/>
      <c s="849"/>
      <c s="849"/>
      <c s="849"/>
    </row>
    <row r="121" spans="1:30" ht="9" customHeight="1">
      <c r="A121" s="848"/>
      <c s="848"/>
      <c s="846"/>
      <c s="846"/>
      <c s="846"/>
      <c s="846"/>
      <c s="846"/>
      <c s="894"/>
      <c s="894"/>
      <c s="894"/>
      <c s="894"/>
      <c s="894"/>
      <c s="846"/>
      <c s="893"/>
      <c s="960"/>
      <c s="960"/>
      <c s="960"/>
      <c s="960"/>
      <c s="846"/>
      <c s="846"/>
      <c s="846"/>
      <c s="846"/>
      <c s="846"/>
      <c s="846"/>
      <c s="1003"/>
      <c s="849"/>
      <c s="852"/>
      <c s="849"/>
      <c s="849"/>
      <c s="849"/>
    </row>
    <row r="122" spans="1:30" ht="9" customHeight="1">
      <c r="A122" s="848"/>
      <c s="848"/>
      <c s="846"/>
      <c s="846"/>
      <c s="846"/>
      <c s="846"/>
      <c s="846"/>
      <c s="894"/>
      <c s="894"/>
      <c s="894"/>
      <c s="894"/>
      <c s="894"/>
      <c s="846"/>
      <c s="893"/>
      <c s="960"/>
      <c s="960"/>
      <c s="960"/>
      <c s="960"/>
      <c s="846"/>
      <c s="846"/>
      <c s="846"/>
      <c s="846"/>
      <c s="846"/>
      <c s="846"/>
      <c s="1003"/>
      <c s="849"/>
      <c s="852"/>
      <c s="849"/>
      <c s="849"/>
      <c s="849"/>
    </row>
    <row r="123" spans="1:30" ht="9" customHeight="1">
      <c r="A123" s="848"/>
      <c s="848"/>
      <c s="846"/>
      <c s="846"/>
      <c s="846"/>
      <c s="846"/>
      <c s="846"/>
      <c s="894"/>
      <c s="894"/>
      <c s="894"/>
      <c s="894"/>
      <c s="894"/>
      <c s="846"/>
      <c s="893"/>
      <c s="960"/>
      <c s="960"/>
      <c s="960"/>
      <c s="960"/>
      <c s="846"/>
      <c s="846"/>
      <c s="846"/>
      <c s="846"/>
      <c s="846"/>
      <c s="846"/>
      <c s="1003"/>
      <c s="849"/>
      <c s="852"/>
      <c s="849"/>
      <c s="849"/>
      <c s="849"/>
    </row>
    <row r="124" spans="1:30" ht="9" customHeight="1">
      <c r="A124" s="848"/>
      <c s="848"/>
      <c s="846"/>
      <c s="846"/>
      <c s="846"/>
      <c s="846"/>
      <c s="846"/>
      <c s="894"/>
      <c s="894"/>
      <c s="894"/>
      <c s="894"/>
      <c s="894"/>
      <c s="846"/>
      <c s="893"/>
      <c s="960"/>
      <c s="960"/>
      <c s="960"/>
      <c s="960"/>
      <c s="846"/>
      <c s="846"/>
      <c s="846"/>
      <c s="846"/>
      <c s="846"/>
      <c s="846"/>
      <c s="1003"/>
      <c s="849"/>
      <c s="852"/>
      <c s="849"/>
      <c s="849"/>
      <c s="849"/>
    </row>
    <row r="125" spans="1:30" ht="9" customHeight="1">
      <c r="A125" s="848"/>
      <c s="848"/>
      <c s="846"/>
      <c s="846"/>
      <c s="846"/>
      <c s="846"/>
      <c s="846"/>
      <c s="894"/>
      <c s="894"/>
      <c s="894"/>
      <c s="894"/>
      <c s="894"/>
      <c s="846"/>
      <c s="893"/>
      <c s="960"/>
      <c s="960"/>
      <c s="960"/>
      <c s="960"/>
      <c s="846"/>
      <c s="846"/>
      <c s="846"/>
      <c s="846"/>
      <c s="846"/>
      <c s="846"/>
      <c s="1003"/>
      <c s="849"/>
      <c s="852"/>
      <c s="849"/>
      <c s="849"/>
      <c s="849"/>
    </row>
    <row r="126" spans="1:30" ht="9" customHeight="1">
      <c r="A126" s="848"/>
      <c s="848"/>
      <c s="846"/>
      <c s="846"/>
      <c s="846"/>
      <c s="846"/>
      <c s="846"/>
      <c s="894"/>
      <c s="894"/>
      <c s="894"/>
      <c s="894"/>
      <c s="894"/>
      <c s="846"/>
      <c s="893"/>
      <c s="960"/>
      <c s="960"/>
      <c s="960"/>
      <c s="960"/>
      <c s="846"/>
      <c s="846"/>
      <c s="846"/>
      <c s="846"/>
      <c s="846"/>
      <c s="846"/>
      <c s="1003"/>
      <c s="849"/>
      <c s="852"/>
      <c s="849"/>
      <c s="849"/>
      <c s="849"/>
    </row>
    <row r="127" spans="1:30" ht="9" customHeight="1">
      <c r="A127" s="848"/>
      <c s="848"/>
      <c s="846"/>
      <c s="846"/>
      <c s="846"/>
      <c s="846"/>
      <c s="846"/>
      <c s="894"/>
      <c s="894"/>
      <c s="894"/>
      <c s="894"/>
      <c s="894"/>
      <c s="846"/>
      <c s="893"/>
      <c s="960"/>
      <c s="960"/>
      <c s="960"/>
      <c s="960"/>
      <c s="846"/>
      <c s="846"/>
      <c s="846"/>
      <c s="846"/>
      <c s="846"/>
      <c s="846"/>
      <c s="1003"/>
      <c s="849"/>
      <c s="852"/>
      <c s="849"/>
      <c s="849"/>
      <c s="849"/>
    </row>
    <row r="128" spans="1:30" ht="9" customHeight="1">
      <c r="A128" s="848"/>
      <c s="848"/>
      <c s="846"/>
      <c s="846"/>
      <c s="846"/>
      <c s="846"/>
      <c s="846"/>
      <c s="894"/>
      <c s="894"/>
      <c s="894"/>
      <c s="894"/>
      <c s="894"/>
      <c s="846"/>
      <c s="893"/>
      <c s="960"/>
      <c s="960"/>
      <c s="960"/>
      <c s="960"/>
      <c s="846"/>
      <c s="846"/>
      <c s="846"/>
      <c s="846"/>
      <c s="846"/>
      <c s="846"/>
      <c s="1003"/>
      <c s="849"/>
      <c s="852"/>
      <c s="849"/>
      <c s="849"/>
      <c s="849"/>
    </row>
    <row r="129" spans="1:30" ht="9" customHeight="1">
      <c r="A129" s="848"/>
      <c s="848"/>
      <c s="846"/>
      <c s="846"/>
      <c s="846"/>
      <c s="846"/>
      <c s="846"/>
      <c s="894"/>
      <c s="894"/>
      <c s="894"/>
      <c s="894"/>
      <c s="894"/>
      <c s="846"/>
      <c s="893"/>
      <c s="960"/>
      <c s="960"/>
      <c s="960"/>
      <c s="960"/>
      <c s="846"/>
      <c s="846"/>
      <c s="846"/>
      <c s="846"/>
      <c s="846"/>
      <c s="846"/>
      <c s="1003"/>
      <c s="849"/>
      <c s="852"/>
      <c s="849"/>
      <c s="849"/>
      <c s="849"/>
    </row>
    <row r="130" spans="1:30" ht="9" customHeight="1">
      <c r="A130" s="848"/>
      <c s="848"/>
      <c s="846"/>
      <c s="846"/>
      <c s="846"/>
      <c s="846"/>
      <c s="846"/>
      <c s="894"/>
      <c s="894"/>
      <c s="894"/>
      <c s="894"/>
      <c s="894"/>
      <c s="846"/>
      <c s="893"/>
      <c s="962"/>
      <c s="962"/>
      <c s="962"/>
      <c s="962"/>
      <c s="846"/>
      <c s="846"/>
      <c s="846"/>
      <c s="846"/>
      <c s="846"/>
      <c s="846"/>
      <c s="1003"/>
      <c s="849"/>
      <c s="852"/>
      <c s="849"/>
      <c s="849"/>
      <c s="849"/>
    </row>
    <row r="131" spans="1:30" ht="9" customHeight="1">
      <c r="A131" s="848"/>
      <c s="848"/>
      <c s="846"/>
      <c s="846"/>
      <c s="846"/>
      <c s="846"/>
      <c s="846"/>
      <c s="894"/>
      <c s="894"/>
      <c s="894"/>
      <c s="894"/>
      <c s="894"/>
      <c s="846"/>
      <c s="893"/>
      <c s="963"/>
      <c s="963"/>
      <c s="963"/>
      <c s="963"/>
      <c s="846"/>
      <c s="846"/>
      <c s="846"/>
      <c s="846"/>
      <c s="846"/>
      <c s="846"/>
      <c s="1003"/>
      <c s="849"/>
      <c s="852"/>
      <c s="849"/>
      <c s="849"/>
      <c s="849"/>
    </row>
    <row r="132" spans="1:30" ht="9" customHeight="1">
      <c r="A132" s="848"/>
      <c s="848"/>
      <c s="846"/>
      <c s="846"/>
      <c s="846"/>
      <c s="846"/>
      <c s="846"/>
      <c s="894"/>
      <c s="894"/>
      <c s="894"/>
      <c s="894"/>
      <c s="894"/>
      <c s="846"/>
      <c s="893"/>
      <c s="962"/>
      <c s="962"/>
      <c s="962"/>
      <c s="962"/>
      <c s="846"/>
      <c s="846"/>
      <c s="846"/>
      <c s="846"/>
      <c s="846"/>
      <c s="846"/>
      <c s="1003"/>
      <c s="849"/>
      <c s="852"/>
      <c s="849"/>
      <c s="849"/>
      <c s="849"/>
    </row>
    <row r="133" spans="1:30" ht="9" customHeight="1">
      <c r="A133" s="848"/>
      <c s="848"/>
      <c s="846"/>
      <c s="846"/>
      <c s="846"/>
      <c s="846"/>
      <c s="846"/>
      <c s="894"/>
      <c s="894"/>
      <c s="894"/>
      <c s="894"/>
      <c s="894"/>
      <c s="846"/>
      <c s="893"/>
      <c s="963"/>
      <c s="963"/>
      <c s="963"/>
      <c s="963"/>
      <c s="846"/>
      <c s="846"/>
      <c s="846"/>
      <c s="846"/>
      <c s="846"/>
      <c s="846"/>
      <c s="1003"/>
      <c s="849"/>
      <c s="852"/>
      <c s="849"/>
      <c s="849"/>
      <c s="849"/>
    </row>
    <row r="134" spans="1:30" ht="9" customHeight="1">
      <c r="A134" s="848"/>
      <c s="848"/>
      <c s="846"/>
      <c s="846"/>
      <c s="846"/>
      <c s="846"/>
      <c s="846"/>
      <c s="894"/>
      <c s="894"/>
      <c s="894"/>
      <c s="894"/>
      <c s="894"/>
      <c s="846"/>
      <c s="893"/>
      <c s="960"/>
      <c s="960"/>
      <c s="960"/>
      <c s="960"/>
      <c s="846"/>
      <c s="846"/>
      <c s="846"/>
      <c s="846"/>
      <c s="846"/>
      <c s="846"/>
      <c s="1003"/>
      <c s="849"/>
      <c s="852"/>
      <c s="849"/>
      <c s="849"/>
      <c s="849"/>
    </row>
    <row r="135" spans="1:30" ht="9" customHeight="1">
      <c r="A135" s="848"/>
      <c s="848"/>
      <c s="846"/>
      <c s="846"/>
      <c s="846"/>
      <c s="846"/>
      <c s="846"/>
      <c s="894"/>
      <c s="894"/>
      <c s="894"/>
      <c s="894"/>
      <c s="894"/>
      <c s="846"/>
      <c s="893"/>
      <c s="960"/>
      <c s="960"/>
      <c s="960"/>
      <c s="960"/>
      <c s="846"/>
      <c s="846"/>
      <c s="846"/>
      <c s="846"/>
      <c s="846"/>
      <c s="846"/>
      <c s="1003"/>
      <c s="849"/>
      <c s="852"/>
      <c s="849"/>
      <c s="849"/>
      <c s="849"/>
    </row>
    <row r="136" spans="1:30" ht="9" customHeight="1">
      <c r="A136" s="848"/>
      <c s="848"/>
      <c s="846"/>
      <c s="846"/>
      <c s="846"/>
      <c s="846"/>
      <c s="846"/>
      <c s="894"/>
      <c s="894"/>
      <c s="894"/>
      <c s="894"/>
      <c s="894"/>
      <c s="846"/>
      <c s="893"/>
      <c s="960"/>
      <c s="960"/>
      <c s="960"/>
      <c s="960"/>
      <c s="846"/>
      <c s="846"/>
      <c s="846"/>
      <c s="846"/>
      <c s="846"/>
      <c s="846"/>
      <c s="1003"/>
      <c s="849"/>
      <c s="852"/>
      <c s="849"/>
      <c s="849"/>
      <c s="849"/>
    </row>
    <row r="137" spans="1:30" ht="9" customHeight="1">
      <c r="A137" s="848"/>
      <c s="848"/>
      <c s="846"/>
      <c s="846"/>
      <c s="846"/>
      <c s="846"/>
      <c s="846"/>
      <c s="894"/>
      <c s="894"/>
      <c s="894"/>
      <c s="894"/>
      <c s="894"/>
      <c s="846"/>
      <c s="893"/>
      <c s="964"/>
      <c s="964"/>
      <c s="964"/>
      <c s="964"/>
      <c s="846"/>
      <c s="846"/>
      <c s="846"/>
      <c s="846"/>
      <c s="846"/>
      <c s="846"/>
      <c s="1003"/>
      <c s="849"/>
      <c s="852"/>
      <c s="849"/>
      <c s="849"/>
      <c s="849"/>
    </row>
    <row r="138" spans="1:30" ht="9" customHeight="1">
      <c r="A138" s="848"/>
      <c s="848"/>
      <c s="846"/>
      <c s="846"/>
      <c s="846"/>
      <c s="846"/>
      <c s="846"/>
      <c s="894"/>
      <c s="894"/>
      <c s="894"/>
      <c s="894"/>
      <c s="894"/>
      <c s="846"/>
      <c s="893"/>
      <c s="961"/>
      <c s="961"/>
      <c s="961"/>
      <c s="961"/>
      <c s="846"/>
      <c s="846"/>
      <c s="846"/>
      <c s="846"/>
      <c s="846"/>
      <c s="846"/>
      <c s="1003"/>
      <c s="849"/>
      <c s="852"/>
      <c s="849"/>
      <c s="849"/>
      <c s="849"/>
    </row>
    <row r="139" spans="1:30" ht="9" customHeight="1">
      <c r="A139" s="848"/>
      <c s="848"/>
      <c s="846"/>
      <c s="846"/>
      <c s="846"/>
      <c s="846"/>
      <c s="846"/>
      <c s="894"/>
      <c s="894"/>
      <c s="894"/>
      <c s="894"/>
      <c s="894"/>
      <c s="846"/>
      <c s="893"/>
      <c s="846"/>
      <c s="846"/>
      <c s="846"/>
      <c s="846"/>
      <c s="846"/>
      <c s="846"/>
      <c s="846"/>
      <c s="846"/>
      <c s="846"/>
      <c s="846"/>
      <c s="1003"/>
      <c s="849"/>
      <c s="852"/>
      <c s="849"/>
      <c s="849"/>
      <c s="849"/>
    </row>
    <row r="140" spans="1:30" ht="9" customHeight="1">
      <c r="A140" s="848"/>
      <c s="848"/>
      <c s="846"/>
      <c s="846"/>
      <c s="846"/>
      <c s="846"/>
      <c s="846"/>
      <c s="894"/>
      <c s="894"/>
      <c s="894"/>
      <c s="894"/>
      <c s="894"/>
      <c s="846"/>
      <c s="893"/>
      <c s="846"/>
      <c s="846"/>
      <c s="846"/>
      <c s="846"/>
      <c s="846"/>
      <c s="846"/>
      <c s="846"/>
      <c s="846"/>
      <c s="846"/>
      <c s="846"/>
      <c s="1003"/>
      <c s="849"/>
      <c s="852"/>
      <c s="849"/>
      <c s="849"/>
      <c s="849"/>
    </row>
    <row r="141" spans="1:30" ht="9" customHeight="1">
      <c r="A141" s="848"/>
      <c s="848"/>
      <c s="846"/>
      <c s="846"/>
      <c s="846"/>
      <c s="846"/>
      <c s="846"/>
      <c s="894"/>
      <c s="894"/>
      <c s="894"/>
      <c s="894"/>
      <c s="894"/>
      <c s="846"/>
      <c s="893"/>
      <c s="846"/>
      <c s="846"/>
      <c s="846"/>
      <c s="846"/>
      <c s="846"/>
      <c s="846"/>
      <c s="846"/>
      <c s="846"/>
      <c s="846"/>
      <c s="846"/>
      <c s="1003"/>
      <c s="849"/>
      <c s="852"/>
      <c s="849"/>
      <c s="849"/>
      <c s="849"/>
    </row>
    <row r="142" spans="1:30" ht="9" customHeight="1">
      <c r="A142" s="848"/>
      <c s="848"/>
      <c s="846"/>
      <c s="846"/>
      <c s="846"/>
      <c s="846"/>
      <c s="846"/>
      <c s="894"/>
      <c s="894"/>
      <c s="894"/>
      <c s="894"/>
      <c s="894"/>
      <c s="846"/>
      <c s="893"/>
      <c s="846"/>
      <c s="846"/>
      <c s="846"/>
      <c s="846"/>
      <c s="846"/>
      <c s="846"/>
      <c s="846"/>
      <c s="846"/>
      <c s="846"/>
      <c s="846"/>
      <c s="1003"/>
      <c s="849"/>
      <c s="852"/>
      <c s="849"/>
      <c s="849"/>
      <c s="849"/>
    </row>
    <row r="143" spans="1:30" ht="9" customHeight="1">
      <c r="A143" s="848"/>
      <c s="848"/>
      <c s="846"/>
      <c s="846"/>
      <c s="846"/>
      <c s="846"/>
      <c s="846"/>
      <c s="894"/>
      <c s="894"/>
      <c s="894"/>
      <c s="894"/>
      <c s="894"/>
      <c s="846"/>
      <c s="893"/>
      <c s="846"/>
      <c s="846"/>
      <c s="846"/>
      <c s="846"/>
      <c s="846"/>
      <c s="846"/>
      <c s="846"/>
      <c s="846"/>
      <c s="846"/>
      <c s="846"/>
      <c s="1003"/>
      <c s="849"/>
      <c s="852"/>
      <c s="849"/>
      <c s="849"/>
      <c s="849"/>
    </row>
    <row r="144" spans="1:30" ht="9" customHeight="1">
      <c r="A144" s="848"/>
      <c s="848"/>
      <c s="846"/>
      <c s="846"/>
      <c s="846"/>
      <c s="846"/>
      <c s="846"/>
      <c s="894"/>
      <c s="894"/>
      <c s="894"/>
      <c s="894"/>
      <c s="894"/>
      <c s="846"/>
      <c s="893"/>
      <c s="846"/>
      <c s="846"/>
      <c s="846"/>
      <c s="846"/>
      <c s="846"/>
      <c s="846"/>
      <c s="846"/>
      <c s="846"/>
      <c s="846"/>
      <c s="846"/>
      <c s="1003"/>
      <c s="849"/>
      <c s="852"/>
      <c s="849"/>
      <c s="849"/>
      <c s="849"/>
    </row>
    <row r="145" spans="1:30" ht="9" customHeight="1">
      <c r="A145" s="848"/>
      <c s="848"/>
      <c s="846"/>
      <c s="846"/>
      <c s="846"/>
      <c s="846"/>
      <c s="846"/>
      <c s="894"/>
      <c s="894"/>
      <c s="894"/>
      <c s="894"/>
      <c s="894"/>
      <c s="846"/>
      <c s="893"/>
      <c s="846"/>
      <c s="846"/>
      <c s="846"/>
      <c s="846"/>
      <c s="846"/>
      <c s="846"/>
      <c s="846"/>
      <c s="846"/>
      <c s="846"/>
      <c s="846"/>
      <c s="1003"/>
      <c s="849"/>
      <c s="852"/>
      <c s="849"/>
      <c s="849"/>
      <c s="849"/>
    </row>
    <row r="146" spans="1:30" ht="9" customHeight="1">
      <c r="A146" s="848"/>
      <c s="848"/>
      <c s="846"/>
      <c s="846"/>
      <c s="846"/>
      <c s="846"/>
      <c s="846"/>
      <c s="894"/>
      <c s="894"/>
      <c s="894"/>
      <c s="894"/>
      <c s="894"/>
      <c s="846"/>
      <c s="893"/>
      <c s="846"/>
      <c s="846"/>
      <c s="846"/>
      <c s="846"/>
      <c s="846"/>
      <c s="846"/>
      <c s="846"/>
      <c s="846"/>
      <c s="846"/>
      <c s="846"/>
      <c s="1003"/>
      <c s="849"/>
      <c s="852"/>
      <c s="849"/>
      <c s="849"/>
      <c s="849"/>
    </row>
    <row r="147" spans="1:30" ht="9" customHeight="1">
      <c r="A147" s="848"/>
      <c s="848"/>
      <c s="848"/>
      <c s="848"/>
      <c s="848"/>
      <c s="848"/>
      <c s="848"/>
      <c s="848"/>
      <c s="848"/>
      <c s="848"/>
      <c s="848"/>
      <c s="848"/>
      <c s="848"/>
      <c s="848"/>
      <c s="848"/>
      <c s="848"/>
      <c s="848"/>
      <c s="848"/>
      <c s="848"/>
      <c s="848"/>
      <c s="848"/>
      <c s="848"/>
      <c s="848"/>
      <c s="848"/>
      <c s="848"/>
      <c s="848"/>
      <c s="848"/>
      <c s="848"/>
      <c s="848"/>
      <c s="848"/>
    </row>
    <row r="148" spans="1:30" ht="90" customHeight="1">
      <c r="A148" s="848" t="s">
        <v>1660</v>
      </c>
      <c s="848"/>
      <c s="846" t="s">
        <v>2223</v>
      </c>
      <c s="846" t="s">
        <v>1563</v>
      </c>
      <c s="846" t="s">
        <v>1662</v>
      </c>
      <c s="846" t="s">
        <v>2224</v>
      </c>
      <c s="846"/>
      <c s="846"/>
      <c s="966"/>
      <c s="966"/>
      <c s="966"/>
      <c s="966"/>
      <c s="896" t="str">
        <f>IF(TEMPLATE_SPHERE="HEAT",T148,IF(TEMPLATE_SPHERE="TKO",X148,U148))</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водоотведения</v>
      </c>
      <c s="851"/>
      <c s="846"/>
      <c s="847"/>
      <c s="847"/>
      <c s="847"/>
      <c s="846"/>
      <c s="846" t="s">
        <v>2225</v>
      </c>
      <c s="847" t="str">
        <f>"Сведения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"&amp;TEMPLATE_SPHERE_RUS</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водоотведения</v>
      </c>
      <c s="847"/>
      <c s="847"/>
      <c s="846" t="s">
        <v>2226</v>
      </c>
      <c s="1003"/>
      <c s="849"/>
      <c s="852"/>
      <c s="849"/>
      <c s="849"/>
      <c s="849"/>
    </row>
    <row r="149" spans="1:30" ht="9" customHeight="1">
      <c r="A149" s="848"/>
      <c s="848"/>
      <c s="848"/>
      <c s="848"/>
      <c s="848"/>
      <c s="848"/>
      <c s="848"/>
      <c s="848"/>
      <c s="848"/>
      <c s="848"/>
      <c s="848"/>
      <c s="848"/>
      <c s="848"/>
      <c s="848"/>
      <c s="848"/>
      <c s="848"/>
      <c s="848"/>
      <c s="848"/>
      <c s="848"/>
      <c s="848"/>
      <c s="848"/>
      <c s="848"/>
      <c s="848"/>
      <c s="848"/>
      <c s="848"/>
      <c s="848"/>
      <c s="848"/>
      <c s="848"/>
      <c s="848"/>
      <c s="848"/>
    </row>
    <row r="150" spans="1:30" ht="9" customHeight="1">
      <c r="A150" s="848" t="s">
        <v>1664</v>
      </c>
      <c s="848"/>
      <c s="846"/>
      <c s="846"/>
      <c s="846"/>
      <c s="846"/>
      <c s="846"/>
      <c s="846"/>
      <c s="846"/>
      <c s="846"/>
      <c s="846"/>
      <c s="846"/>
      <c s="846"/>
      <c s="846"/>
      <c s="846"/>
      <c s="846"/>
      <c s="846"/>
      <c s="846"/>
      <c s="846"/>
      <c s="846"/>
      <c s="846"/>
      <c s="846"/>
      <c s="846"/>
      <c s="846"/>
      <c s="1003"/>
      <c s="849"/>
      <c s="852"/>
      <c s="849"/>
      <c s="849"/>
      <c s="849"/>
    </row>
    <row r="151" spans="1:30" ht="9" customHeight="1">
      <c r="A151" s="848"/>
      <c s="848"/>
      <c s="848"/>
      <c s="848"/>
      <c s="848"/>
      <c s="848"/>
      <c s="848"/>
      <c s="848"/>
      <c s="848"/>
      <c s="848"/>
      <c s="848"/>
      <c s="848"/>
      <c s="848"/>
      <c s="848"/>
      <c s="848"/>
      <c s="848"/>
      <c s="848"/>
      <c s="848"/>
      <c s="848"/>
      <c s="848"/>
      <c s="848"/>
      <c s="848"/>
      <c s="848"/>
      <c s="848"/>
      <c s="848"/>
      <c s="848"/>
      <c s="848"/>
      <c s="848"/>
      <c s="848"/>
      <c s="848"/>
    </row>
    <row r="152" spans="1:30" ht="9" customHeight="1">
      <c r="A152" s="848" t="s">
        <v>1667</v>
      </c>
      <c s="848"/>
      <c s="846"/>
      <c s="846"/>
      <c s="846"/>
      <c s="846"/>
      <c s="846"/>
      <c s="846"/>
      <c s="846"/>
      <c s="846"/>
      <c s="846"/>
      <c s="846"/>
      <c s="846"/>
      <c s="846"/>
      <c s="846"/>
      <c s="846"/>
      <c s="846"/>
      <c s="846"/>
      <c s="846"/>
      <c s="846"/>
      <c s="846"/>
      <c s="846"/>
      <c s="846"/>
      <c s="846"/>
      <c s="1003"/>
      <c s="849"/>
      <c s="852"/>
      <c s="849"/>
      <c s="849"/>
      <c s="849"/>
    </row>
    <row r="153" spans="1:30" ht="9" customHeight="1">
      <c r="A153" s="848"/>
      <c s="848"/>
      <c s="848"/>
      <c s="848"/>
      <c s="848"/>
      <c s="848"/>
      <c s="848"/>
      <c s="848"/>
      <c s="848"/>
      <c s="848"/>
      <c s="848"/>
      <c s="848"/>
      <c s="848"/>
      <c s="848"/>
      <c s="848"/>
      <c s="848"/>
      <c s="848"/>
      <c s="848"/>
      <c s="848"/>
      <c s="848"/>
      <c s="848"/>
      <c s="848"/>
      <c s="848"/>
      <c s="848"/>
      <c s="848"/>
      <c s="848"/>
      <c s="848"/>
      <c s="848"/>
      <c s="848"/>
      <c s="848"/>
    </row>
    <row r="154" spans="1:30" ht="9" customHeight="1">
      <c r="A154" s="848" t="s">
        <v>1672</v>
      </c>
      <c s="848"/>
      <c s="846"/>
      <c s="846"/>
      <c s="846"/>
      <c s="846"/>
      <c s="846"/>
      <c s="846"/>
      <c s="846"/>
      <c s="846"/>
      <c s="846"/>
      <c s="846"/>
      <c s="846"/>
      <c s="846"/>
      <c s="846"/>
      <c s="846"/>
      <c s="846"/>
      <c s="846"/>
      <c s="846"/>
      <c s="846"/>
      <c s="846"/>
      <c s="846"/>
      <c s="846"/>
      <c s="846"/>
      <c s="1003"/>
      <c s="849"/>
      <c s="852"/>
      <c s="849"/>
      <c s="849"/>
      <c s="849"/>
    </row>
  </sheetData>
  <sheetProtection insertRows="0" deleteColumns="0" deleteRows="0" sort="0" autoFilter="0"/>
  <mergeCells count="12">
    <mergeCell ref="T1:X1"/>
    <mergeCell ref="Z1:AD1"/>
    <mergeCell ref="A11:A15"/>
    <mergeCell ref="H13:H14"/>
    <mergeCell ref="H15:H16"/>
    <mergeCell ref="C3:F3"/>
    <mergeCell ref="C11:C16"/>
    <mergeCell ref="D11:D16"/>
    <mergeCell ref="E11:E16"/>
    <mergeCell ref="F11:F16"/>
    <mergeCell ref="G11:G16"/>
    <mergeCell ref="O1:S1"/>
  </mergeCells>
  <pageMargins left="0.7" right="0.7" top="0.75" bottom="0.75" header="0.3" footer="0.3"/>
  <pageSetup orientation="portrait" paperSize="9"/>
  <legacyDrawing r:id="rId2"/>
</worksheet>
</file>

<file path=xl/worksheets/sheet6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m="http://schemas.microsoft.com/office/excel/2006/main" xmlns:x14ac="http://schemas.microsoft.com/office/spreadsheetml/2009/9/ac" xmlns:xr="http://schemas.microsoft.com/office/spreadsheetml/2014/revision" xmlns:xr2="http://schemas.microsoft.com/office/spreadsheetml/2015/revision2" xmlns:xr3="http://schemas.microsoft.com/office/spreadsheetml/2016/revision3" xr:uid="{C8E5F2BD-B622-692B-FE51-1BA730119325}" mc:Ignorable="x14ac xr xr2 xr3">
  <sheetPr>
    <tabColor theme="6" tint="0.400000005960464"/>
  </sheetPr>
  <dimension ref="A1:AD41"/>
  <sheetViews>
    <sheetView showGridLines="0" workbookViewId="0" topLeftCell="I4">
      <selection pane="topLeft" activeCell="A1" sqref="A1"/>
    </sheetView>
  </sheetViews>
  <sheetFormatPr defaultColWidth="10.5742857142857" defaultRowHeight="14.25" customHeight="1"/>
  <cols>
    <col min="1" max="1" width="10.5714285714286" style="1369" hidden="1"/>
    <col min="2" max="2" width="11" style="1369" hidden="1" customWidth="1"/>
    <col min="3" max="3" width="10.5714285714286" style="1369" hidden="1"/>
    <col min="4" max="4" width="11.8571428571429" style="1369" hidden="1" customWidth="1"/>
    <col min="5" max="5" width="12.2857142857143" style="1369" hidden="1" customWidth="1"/>
    <col min="6" max="8" width="12.2857142857143" style="1779" hidden="1" customWidth="1"/>
    <col min="9" max="9" width="3" style="2400" customWidth="1"/>
    <col min="10" max="11" width="3" style="347" customWidth="1"/>
    <col min="12" max="12" width="12" style="2410" customWidth="1"/>
    <col min="13" max="13" width="31" style="1638" customWidth="1"/>
    <col min="14" max="14" width="1" style="1638" customWidth="1"/>
    <col min="15" max="18" width="24" style="1638" customWidth="1"/>
    <col min="19" max="19" width="11" style="1638" customWidth="1"/>
    <col min="20" max="20" width="3.71428571428571" style="1638" customWidth="1"/>
    <col min="21" max="21" width="11" style="1638" customWidth="1"/>
    <col min="22" max="22" width="8.57142857142857" style="1638" customWidth="1"/>
    <col min="23" max="23" width="4" style="1638" customWidth="1"/>
    <col min="24" max="24" width="115" style="1638" customWidth="1"/>
    <col min="25" max="29" width="10" style="1645" customWidth="1"/>
    <col min="30" max="30" width="10.5714285714286" style="1638" hidden="1"/>
  </cols>
  <sheetData>
    <row r="1" spans="18:30" ht="22.5" customHeight="1" hidden="1">
      <c r="R1" s="330"/>
      <c s="330"/>
      <c r="AD1" s="1158" t="s">
        <v>14</v>
      </c>
    </row>
    <row r="2" spans="22:30" ht="14.25" customHeight="1" hidden="1">
      <c r="V2" s="330"/>
      <c r="AD2" s="1158">
        <v>0</v>
      </c>
    </row>
    <row r="3" spans="30:30" ht="14.25" customHeight="1" hidden="1">
      <c r="AD3" s="1158">
        <v>0</v>
      </c>
    </row>
    <row r="4" spans="10:30" ht="14.7" customHeight="1">
      <c r="J4" s="379"/>
      <c s="379"/>
      <c s="1278"/>
      <c s="366"/>
      <c s="366"/>
      <c s="512"/>
      <c s="512"/>
      <c s="512"/>
      <c s="512"/>
      <c s="512"/>
      <c s="512"/>
      <c s="512"/>
      <c s="512"/>
      <c r="AD4" s="1158">
        <v>14</v>
      </c>
    </row>
    <row r="5" spans="10:30" ht="67.2" customHeight="1">
      <c r="J5" s="379"/>
      <c s="379"/>
      <c s="2606" t="s">
        <v>2227</v>
      </c>
      <c s="2606"/>
      <c s="2606"/>
      <c s="2606"/>
      <c s="2606"/>
      <c s="2606"/>
      <c s="2606"/>
      <c s="2606"/>
      <c s="2606"/>
      <c s="2606"/>
      <c s="1246"/>
      <c r="AD5" s="1158">
        <v>64</v>
      </c>
    </row>
    <row r="6" spans="10:30" ht="14.7" customHeight="1">
      <c r="J6" s="379"/>
      <c s="379"/>
      <c s="2607" t="str">
        <f>IF(org=0,"Не определено",org)</f>
        <v>ГУП КК "Кубаньводкомплекс"</v>
      </c>
      <c s="2607"/>
      <c s="2607"/>
      <c s="2607"/>
      <c s="2607"/>
      <c s="2607"/>
      <c s="2607"/>
      <c s="2607"/>
      <c s="2607"/>
      <c s="2607"/>
      <c s="1246"/>
      <c r="AD6" s="1158">
        <v>14</v>
      </c>
    </row>
    <row r="7" spans="10:30" ht="14.7" customHeight="1">
      <c r="J7" s="379"/>
      <c s="379"/>
      <c s="1278"/>
      <c s="366"/>
      <c s="366"/>
      <c s="325"/>
      <c s="325"/>
      <c s="325"/>
      <c s="325"/>
      <c s="325"/>
      <c s="325"/>
      <c s="325"/>
      <c s="325"/>
      <c s="512"/>
      <c r="AD7" s="1158">
        <v>14</v>
      </c>
    </row>
    <row r="8" spans="1:30" s="1856" customFormat="1" ht="48.3" customHeight="1">
      <c r="A8" s="1371"/>
      <c s="1371"/>
      <c s="1371"/>
      <c s="1371"/>
      <c s="1371"/>
      <c s="1371"/>
      <c s="1371"/>
      <c s="1371"/>
      <c r="L8" s="1279"/>
      <c s="298" t="s">
        <v>42</v>
      </c>
      <c s="307"/>
      <c s="2254" t="str">
        <f>IF(TITLE_NAME_OR_PR_CHANGE="",IF(TITLE_NAME_OR_PR="","",TITLE_NAME_OR_PR),TITLE_NAME_OR_PR_CHANGE)</f>
        <v/>
      </c>
      <c s="2254"/>
      <c s="2254"/>
      <c s="2254"/>
      <c s="2254"/>
      <c s="2254"/>
      <c s="2254"/>
      <c s="329"/>
      <c s="329"/>
      <c s="283"/>
      <c s="371"/>
      <c s="371"/>
      <c s="371"/>
      <c s="371"/>
      <c s="371"/>
      <c s="421">
        <v>46</v>
      </c>
    </row>
    <row r="9" spans="1:30" s="1856" customFormat="1" ht="24" customHeight="1">
      <c r="A9" s="1371"/>
      <c s="1371"/>
      <c s="1371"/>
      <c s="1371"/>
      <c s="1371"/>
      <c s="1371"/>
      <c s="1371"/>
      <c s="1371"/>
      <c r="L9" s="1279"/>
      <c s="298" t="s">
        <v>423</v>
      </c>
      <c s="307"/>
      <c s="2254" t="str">
        <f>IF(TITLE_DATE_CHANGE_PERIOD="",IF(TITLE_DATE_PR="","",TITLE_DATE_PR),TITLE_DATE_CHANGE_PERIOD)</f>
        <v/>
      </c>
      <c s="2254"/>
      <c s="2254"/>
      <c s="2254"/>
      <c s="2254"/>
      <c s="2254"/>
      <c s="2254"/>
      <c s="329"/>
      <c s="329"/>
      <c s="283"/>
      <c s="371"/>
      <c s="371"/>
      <c s="371"/>
      <c s="371"/>
      <c s="371"/>
      <c s="421">
        <v>23</v>
      </c>
    </row>
    <row r="10" spans="1:30" s="1856" customFormat="1" ht="24" customHeight="1">
      <c r="A10" s="1371"/>
      <c s="1371"/>
      <c s="1371"/>
      <c s="1371"/>
      <c s="1371"/>
      <c s="1371"/>
      <c s="1371"/>
      <c s="1371"/>
      <c r="L10" s="1253"/>
      <c s="298" t="s">
        <v>424</v>
      </c>
      <c s="307"/>
      <c s="2254" t="str">
        <f>IF(TITLE_NUMBER_PR_CHANGE="",IF(TITLE_NUMBER_PR="","",TITLE_NUMBER_PR),TITLE_NUMBER_PR_CHANGE)</f>
        <v/>
      </c>
      <c s="2254"/>
      <c s="2254"/>
      <c s="2254"/>
      <c s="2254"/>
      <c s="2254"/>
      <c s="2254"/>
      <c s="329"/>
      <c s="329"/>
      <c s="283"/>
      <c s="371"/>
      <c s="371"/>
      <c s="371"/>
      <c s="371"/>
      <c s="371"/>
      <c s="421">
        <v>23</v>
      </c>
    </row>
    <row r="11" spans="1:30" s="1856" customFormat="1" ht="24" customHeight="1">
      <c r="A11" s="1371"/>
      <c s="1371"/>
      <c s="1371"/>
      <c s="1371"/>
      <c s="1371"/>
      <c s="1371"/>
      <c s="1371"/>
      <c s="1371"/>
      <c r="L11" s="1253"/>
      <c s="298" t="s">
        <v>43</v>
      </c>
      <c s="307"/>
      <c s="2254" t="str">
        <f>IF(TITLE_IST_PUB_CHANGE="",IF(TITLE_IST_PUB="","",TITLE_IST_PUB),TITLE_IST_PUB_CHANGE)</f>
        <v/>
      </c>
      <c s="2254"/>
      <c s="2254"/>
      <c s="2254"/>
      <c s="2254"/>
      <c s="2254"/>
      <c s="2254"/>
      <c s="329"/>
      <c s="329"/>
      <c s="283"/>
      <c s="371"/>
      <c s="371"/>
      <c s="371"/>
      <c s="371"/>
      <c s="371"/>
      <c s="421">
        <v>23</v>
      </c>
    </row>
    <row r="12" spans="1:30" s="1856" customFormat="1" ht="11.25" customHeight="1" hidden="1">
      <c r="A12" s="1371"/>
      <c s="1371"/>
      <c s="1371"/>
      <c s="1371"/>
      <c s="1371"/>
      <c s="1371"/>
      <c s="1371"/>
      <c s="1371"/>
      <c r="L12" s="2608"/>
      <c s="2608"/>
      <c s="1290"/>
      <c s="329"/>
      <c s="329"/>
      <c s="329"/>
      <c s="329"/>
      <c s="329"/>
      <c s="329"/>
      <c s="329"/>
      <c s="281" t="s">
        <v>427</v>
      </c>
      <c r="Y12" s="371"/>
      <c s="371"/>
      <c s="371"/>
      <c s="371"/>
      <c s="371"/>
      <c s="421">
        <v>0</v>
      </c>
    </row>
    <row r="13" spans="10:30" ht="14.7" customHeight="1">
      <c r="J13" s="379"/>
      <c s="379"/>
      <c s="1278"/>
      <c s="366"/>
      <c s="1247"/>
      <c s="2255"/>
      <c s="2255"/>
      <c s="2255"/>
      <c s="2255"/>
      <c s="2255"/>
      <c s="2255"/>
      <c s="2255"/>
      <c s="2255"/>
      <c r="AD13" s="1158">
        <v>14</v>
      </c>
    </row>
    <row r="14" spans="10:30" ht="14.7" customHeight="1">
      <c r="J14" s="379"/>
      <c s="379"/>
      <c s="2130" t="s">
        <v>300</v>
      </c>
      <c s="2130"/>
      <c s="2130"/>
      <c s="2130"/>
      <c s="2130"/>
      <c s="2130"/>
      <c s="2130"/>
      <c s="2130"/>
      <c s="2130"/>
      <c s="2130"/>
      <c s="2130"/>
      <c s="2130"/>
      <c s="2130" t="s">
        <v>301</v>
      </c>
      <c r="AD14" s="1158">
        <v>14</v>
      </c>
    </row>
    <row r="15" spans="10:30" ht="14.7" customHeight="1">
      <c r="J15" s="379"/>
      <c s="379"/>
      <c s="2276" t="s">
        <v>87</v>
      </c>
      <c s="2212" t="s">
        <v>428</v>
      </c>
      <c s="304"/>
      <c s="2277" t="s">
        <v>2228</v>
      </c>
      <c s="2278"/>
      <c s="2278"/>
      <c s="2278"/>
      <c s="2278"/>
      <c s="2278"/>
      <c s="2279"/>
      <c s="2280" t="s">
        <v>430</v>
      </c>
      <c s="2283" t="s">
        <v>1146</v>
      </c>
      <c s="2130"/>
      <c r="AD15" s="1158">
        <v>14</v>
      </c>
    </row>
    <row r="16" spans="10:30" ht="35.7" customHeight="1">
      <c r="J16" s="379"/>
      <c s="379"/>
      <c s="2276"/>
      <c s="2212"/>
      <c s="1034"/>
      <c s="2263" t="s">
        <v>433</v>
      </c>
      <c s="2263" t="s">
        <v>434</v>
      </c>
      <c s="2265" t="s">
        <v>435</v>
      </c>
      <c s="2266"/>
      <c s="2265" t="s">
        <v>449</v>
      </c>
      <c s="2272"/>
      <c s="2266"/>
      <c s="2281"/>
      <c s="2284"/>
      <c s="2130"/>
      <c r="AD16" s="1158">
        <v>34</v>
      </c>
    </row>
    <row r="17" spans="1:30" ht="35.7" customHeight="1">
      <c r="A17" s="1373" t="s">
        <v>136</v>
      </c>
      <c s="1373" t="s">
        <v>137</v>
      </c>
      <c s="1373" t="s">
        <v>138</v>
      </c>
      <c s="1373" t="s">
        <v>139</v>
      </c>
      <c s="1373"/>
      <c r="J17" s="379"/>
      <c s="379"/>
      <c s="2276"/>
      <c s="2212"/>
      <c s="305"/>
      <c s="2264"/>
      <c s="2264"/>
      <c s="1225" t="s">
        <v>444</v>
      </c>
      <c s="1225" t="s">
        <v>445</v>
      </c>
      <c s="1295" t="s">
        <v>446</v>
      </c>
      <c s="2273" t="s">
        <v>447</v>
      </c>
      <c s="2274"/>
      <c s="2282"/>
      <c s="2285"/>
      <c s="2130"/>
      <c r="AD17" s="1158">
        <v>34</v>
      </c>
    </row>
    <row r="18" spans="1:30" s="1644" customFormat="1" ht="11.55" customHeight="1">
      <c r="A18" s="1373"/>
      <c s="1373"/>
      <c s="1373"/>
      <c s="1373"/>
      <c s="1373"/>
      <c s="1365"/>
      <c s="1365"/>
      <c s="1365"/>
      <c s="1249"/>
      <c s="1250"/>
      <c s="1257">
        <v>1</v>
      </c>
      <c s="1280" t="s">
        <v>109</v>
      </c>
      <c s="1258" t="s">
        <v>110</v>
      </c>
      <c s="1248" t="str">
        <f ca="1">OFFSET(N18,0,-1)</f>
        <v>2</v>
      </c>
      <c s="1292">
        <f ca="1">OFFSET(O18,0,-1)+1</f>
        <v>3</v>
      </c>
      <c s="1292"/>
      <c s="1292">
        <f ca="1">OFFSET(Q18,0,-1)+1</f>
        <v>1</v>
      </c>
      <c s="1292">
        <f ca="1">OFFSET(R18,0,-1)+1</f>
        <v>2</v>
      </c>
      <c s="1292">
        <f ca="1">OFFSET(S18,0,-1)+1</f>
        <v>3</v>
      </c>
      <c s="2275">
        <f ca="1">OFFSET(T18,0,-1)+1</f>
        <v>4</v>
      </c>
      <c s="2275"/>
      <c s="1292">
        <f ca="1">OFFSET(V18,0,-2)+1</f>
        <v>5</v>
      </c>
      <c s="1248">
        <f ca="1">OFFSET(W18,0,-1)</f>
        <v>5</v>
      </c>
      <c s="1292">
        <f ca="1">OFFSET(X18,0,-1)+1</f>
        <v>6</v>
      </c>
      <c s="514"/>
      <c s="514"/>
      <c s="514"/>
      <c s="514"/>
      <c s="514"/>
      <c s="499">
        <v>11</v>
      </c>
    </row>
    <row r="19" spans="1:30" ht="21" customHeight="1">
      <c r="A19" s="1366" t="s">
        <v>170</v>
      </c>
      <c s="1366" t="s">
        <v>171</v>
      </c>
      <c s="1366" t="s">
        <v>172</v>
      </c>
      <c s="1366" t="s">
        <v>173</v>
      </c>
      <c s="1366"/>
      <c s="1368"/>
      <c s="1368"/>
      <c s="1368"/>
      <c s="364"/>
      <c s="363"/>
      <c s="358"/>
      <c s="1296">
        <f>INDEX(PT_DIFFERENTIATION_NUM_NTAR,MATCH(A19,PT_DIFFERENTIATION_NTAR_ID,0))</f>
        <v>0</v>
      </c>
      <c s="301" t="s">
        <v>125</v>
      </c>
      <c s="303"/>
      <c s="2609" t="str">
        <f>INDEX(PT_DIFFERENTIATION_NTAR,MATCH(A19,PT_DIFFERENTIATION_NTAR_ID,0))</f>
        <v/>
      </c>
      <c s="2609"/>
      <c s="2609"/>
      <c s="2609"/>
      <c s="2609"/>
      <c s="2609"/>
      <c s="2609"/>
      <c s="2609"/>
      <c s="2609"/>
      <c s="1261" t="s">
        <v>396</v>
      </c>
      <c r="Z19" s="503"/>
      <c s="503" t="str">
        <f>IF(M19="","",M19)</f>
        <v>Наименование тарифа</v>
      </c>
      <c s="503"/>
      <c s="503"/>
      <c s="1158">
        <v>20</v>
      </c>
    </row>
    <row r="20" spans="1:30" ht="21" customHeight="1">
      <c r="A20" s="1366" t="s">
        <v>170</v>
      </c>
      <c s="1366" t="s">
        <v>171</v>
      </c>
      <c s="1366" t="s">
        <v>172</v>
      </c>
      <c s="1366" t="s">
        <v>173</v>
      </c>
      <c s="1366"/>
      <c s="1368"/>
      <c s="1368"/>
      <c s="1368"/>
      <c s="1293"/>
      <c s="355"/>
      <c s="356"/>
      <c s="1296" t="str">
        <f>INDEX(PT_DIFFERENTIATION_NUM_TER,MATCH(B19,PT_DIFFERENTIATION_TER_ID,0))</f>
        <v>.</v>
      </c>
      <c s="311" t="s">
        <v>397</v>
      </c>
      <c s="303"/>
      <c s="2609" t="str">
        <f>INDEX(PT_DIFFERENTIATION_TER,MATCH(B19,PT_DIFFERENTIATION_TER_ID,0))</f>
        <v/>
      </c>
      <c s="2609"/>
      <c s="2609"/>
      <c s="2609"/>
      <c s="2609"/>
      <c s="2609"/>
      <c s="2609"/>
      <c s="2609"/>
      <c s="2609"/>
      <c s="1261" t="s">
        <v>398</v>
      </c>
      <c r="Z20" s="503"/>
      <c s="503" t="str">
        <f>IF(M20="","",M20)</f>
        <v>Территория действия тарифа</v>
      </c>
      <c s="503"/>
      <c s="503"/>
      <c s="1158">
        <v>20</v>
      </c>
    </row>
    <row r="21" spans="1:30" ht="24" customHeight="1">
      <c r="A21" s="1366" t="s">
        <v>170</v>
      </c>
      <c s="1366" t="s">
        <v>171</v>
      </c>
      <c s="1366" t="s">
        <v>172</v>
      </c>
      <c s="1366" t="s">
        <v>173</v>
      </c>
      <c s="1366"/>
      <c s="1368"/>
      <c s="1368"/>
      <c s="1368"/>
      <c s="357"/>
      <c s="355"/>
      <c s="356"/>
      <c s="1296" t="str">
        <f>INDEX(PT_DIFFERENTIATION_NUM_CS,MATCH(C19,PT_DIFFERENTIATION_CS_ID,0))</f>
        <v>..</v>
      </c>
      <c s="312" t="s">
        <v>399</v>
      </c>
      <c s="303"/>
      <c s="2609" t="str">
        <f>INDEX(PT_DIFFERENTIATION_CS,MATCH(C19,PT_DIFFERENTIATION_CS_ID,0))</f>
        <v/>
      </c>
      <c s="2609"/>
      <c s="2609"/>
      <c s="2609"/>
      <c s="2609"/>
      <c s="2609"/>
      <c s="2609"/>
      <c s="2609"/>
      <c s="2609"/>
      <c s="1261" t="s">
        <v>400</v>
      </c>
      <c r="Z21" s="503"/>
      <c s="503" t="str">
        <f>IF(M21="","",M21)</f>
        <v>Наименование системы теплоснабжения</v>
      </c>
      <c s="503"/>
      <c s="503"/>
      <c s="1158">
        <v>23</v>
      </c>
    </row>
    <row r="22" spans="1:30" ht="21" customHeight="1">
      <c r="A22" s="1366" t="s">
        <v>170</v>
      </c>
      <c s="1366" t="s">
        <v>171</v>
      </c>
      <c s="1366" t="s">
        <v>172</v>
      </c>
      <c s="1366" t="s">
        <v>173</v>
      </c>
      <c s="1366"/>
      <c s="1368"/>
      <c s="1368"/>
      <c s="1368"/>
      <c s="357"/>
      <c s="355"/>
      <c s="356"/>
      <c s="1296" t="str">
        <f>INDEX(PT_DIFFERENTIATION_NUM_IST_TE,MATCH(D19,PT_DIFFERENTIATION_IST_TE_ID,0))</f>
        <v>...</v>
      </c>
      <c s="313" t="s">
        <v>401</v>
      </c>
      <c s="303"/>
      <c s="2609" t="str">
        <f>INDEX(PT_DIFFERENTIATION_IST_TE,MATCH(D19,PT_DIFFERENTIATION_IST_TE_ID,0))</f>
        <v/>
      </c>
      <c s="2609"/>
      <c s="2609"/>
      <c s="2609"/>
      <c s="2609"/>
      <c s="2609"/>
      <c s="2609"/>
      <c s="2609"/>
      <c s="2609"/>
      <c s="1261" t="s">
        <v>402</v>
      </c>
      <c r="Z22" s="503"/>
      <c s="503" t="str">
        <f>IF(M22="","",M22)</f>
        <v>Источник тепловой энергии</v>
      </c>
      <c s="503"/>
      <c s="503"/>
      <c s="1158">
        <v>20</v>
      </c>
    </row>
    <row r="23" spans="1:30" ht="96.75" customHeight="1">
      <c r="A23" s="1366" t="s">
        <v>170</v>
      </c>
      <c s="1366" t="s">
        <v>171</v>
      </c>
      <c s="1366" t="s">
        <v>172</v>
      </c>
      <c s="1366" t="s">
        <v>173</v>
      </c>
      <c s="1366"/>
      <c s="2610" t="str">
        <f>L22&amp;".1"</f>
        <v>....1</v>
      </c>
      <c r="I23" s="2260">
        <v>1</v>
      </c>
      <c s="1294"/>
      <c s="359"/>
      <c s="1296" t="str">
        <f>$F$23</f>
        <v>....1</v>
      </c>
      <c s="288" t="s">
        <v>404</v>
      </c>
      <c s="303"/>
      <c s="2308"/>
      <c s="2308"/>
      <c s="2308"/>
      <c s="2308"/>
      <c s="2308"/>
      <c s="2308"/>
      <c s="2308"/>
      <c s="2308"/>
      <c s="2308"/>
      <c s="1261" t="s">
        <v>405</v>
      </c>
      <c r="Z23" s="503"/>
      <c s="503" t="str">
        <f>IF(M23="","",M23)</f>
        <v>Схема подключения теплопотребляющей установки к коллектору источника тепловой энергии</v>
      </c>
      <c s="503"/>
      <c s="503"/>
      <c s="1158">
        <v>92</v>
      </c>
    </row>
    <row r="24" spans="1:30" ht="86.25" customHeight="1">
      <c r="A24" s="1366" t="s">
        <v>170</v>
      </c>
      <c s="1366" t="s">
        <v>171</v>
      </c>
      <c s="1366" t="s">
        <v>172</v>
      </c>
      <c s="1366" t="s">
        <v>173</v>
      </c>
      <c s="1366"/>
      <c s="2610"/>
      <c s="2220" t="str">
        <f>F23&amp;".1"</f>
        <v>....1.1</v>
      </c>
      <c r="I24" s="2260"/>
      <c s="2260">
        <v>1</v>
      </c>
      <c s="360"/>
      <c s="1296" t="str">
        <f>$G$24</f>
        <v>....1.1</v>
      </c>
      <c s="289" t="s">
        <v>407</v>
      </c>
      <c s="303"/>
      <c s="2248"/>
      <c s="2249"/>
      <c s="2249"/>
      <c s="2249"/>
      <c s="2249"/>
      <c s="2249"/>
      <c s="2249"/>
      <c s="2249"/>
      <c s="2250"/>
      <c s="1261" t="s">
        <v>408</v>
      </c>
      <c r="Z24" s="503"/>
      <c s="503" t="str">
        <f>IF(M24="","",M24)</f>
        <v>Группа потребителей</v>
      </c>
      <c s="503"/>
      <c s="503"/>
      <c s="1158">
        <v>82</v>
      </c>
    </row>
    <row r="25" spans="1:30" ht="11.55" customHeight="1">
      <c r="A25" s="1366" t="s">
        <v>170</v>
      </c>
      <c s="1366" t="s">
        <v>171</v>
      </c>
      <c s="1366" t="s">
        <v>172</v>
      </c>
      <c s="1366" t="s">
        <v>173</v>
      </c>
      <c s="1366"/>
      <c s="2610"/>
      <c s="2220"/>
      <c s="2220" t="str">
        <f>G24&amp;".1"</f>
        <v>....1.1.1</v>
      </c>
      <c s="2260"/>
      <c s="2260"/>
      <c s="360">
        <v>1</v>
      </c>
      <c s="1296" t="str">
        <f>$H$25</f>
        <v>....1.1.1</v>
      </c>
      <c s="1350"/>
      <c s="303"/>
      <c s="754"/>
      <c s="328"/>
      <c s="754"/>
      <c s="1260"/>
      <c s="2605"/>
      <c s="2110" t="s">
        <v>65</v>
      </c>
      <c s="2605"/>
      <c s="2110" t="s">
        <v>19</v>
      </c>
      <c s="328"/>
      <c s="2256" t="s">
        <v>410</v>
      </c>
      <c s="514">
        <f>STRCHECKDATE(O26:W26)</f>
      </c>
      <c s="503"/>
      <c s="503" t="str">
        <f>IF(M25="","",M25)</f>
        <v/>
      </c>
      <c s="503"/>
      <c s="503"/>
      <c s="1158">
        <v>11</v>
      </c>
    </row>
    <row r="26" spans="1:30" ht="11.55" customHeight="1">
      <c r="A26" s="1366" t="s">
        <v>170</v>
      </c>
      <c s="1366" t="s">
        <v>171</v>
      </c>
      <c s="1366" t="s">
        <v>172</v>
      </c>
      <c s="1366" t="s">
        <v>173</v>
      </c>
      <c s="1366"/>
      <c s="2610"/>
      <c s="2220"/>
      <c s="2220"/>
      <c s="2260"/>
      <c s="2260"/>
      <c s="360"/>
      <c s="1297"/>
      <c s="303"/>
      <c s="303"/>
      <c s="328"/>
      <c s="328"/>
      <c s="328"/>
      <c s="331" t="str">
        <f>S25&amp;"-"&amp;U25</f>
        <v>-</v>
      </c>
      <c s="2269"/>
      <c s="2110"/>
      <c s="2269"/>
      <c s="2110"/>
      <c s="328"/>
      <c s="2257"/>
      <c r="Z26" s="503"/>
      <c s="503" t="str">
        <f>IF(M26="","",M26)</f>
        <v/>
      </c>
      <c s="503"/>
      <c s="503"/>
      <c s="1158">
        <v>11</v>
      </c>
    </row>
    <row r="27" spans="1:30" ht="15.75" customHeight="1">
      <c r="A27" s="1366" t="s">
        <v>170</v>
      </c>
      <c s="1366" t="s">
        <v>171</v>
      </c>
      <c s="1366" t="s">
        <v>172</v>
      </c>
      <c s="1366" t="s">
        <v>173</v>
      </c>
      <c s="1366"/>
      <c s="2610"/>
      <c s="2220"/>
      <c r="I27" s="2260"/>
      <c s="2260"/>
      <c s="359"/>
      <c s="1281"/>
      <c s="291" t="s">
        <v>411</v>
      </c>
      <c s="370"/>
      <c s="370"/>
      <c s="370"/>
      <c s="370"/>
      <c s="370"/>
      <c s="370"/>
      <c s="370"/>
      <c s="370"/>
      <c s="370"/>
      <c s="327"/>
      <c s="2258"/>
      <c r="Z27" s="503"/>
      <c s="503" t="str">
        <f>IF(M27="","",M27)</f>
        <v>Добавить вид теплоносителя (параметры теплоносителя)</v>
      </c>
      <c s="503"/>
      <c s="503"/>
      <c s="1158">
        <v>15</v>
      </c>
    </row>
    <row r="28" spans="1:30" ht="15.75" customHeight="1">
      <c r="A28" s="1366" t="s">
        <v>170</v>
      </c>
      <c s="1366" t="s">
        <v>171</v>
      </c>
      <c s="1366" t="s">
        <v>172</v>
      </c>
      <c s="1366" t="s">
        <v>173</v>
      </c>
      <c s="1366"/>
      <c s="2610"/>
      <c r="I28" s="2260"/>
      <c s="1294"/>
      <c s="359"/>
      <c s="1281"/>
      <c s="290" t="s">
        <v>412</v>
      </c>
      <c s="370"/>
      <c s="370"/>
      <c s="370"/>
      <c s="370"/>
      <c s="370"/>
      <c s="370"/>
      <c s="370"/>
      <c s="370"/>
      <c s="369"/>
      <c s="370"/>
      <c s="306"/>
      <c r="Z28" s="503"/>
      <c s="503" t="str">
        <f>IF(M28="","",M28)</f>
        <v>Добавить группу потребителей</v>
      </c>
      <c s="503"/>
      <c s="503"/>
      <c s="1158">
        <v>15</v>
      </c>
    </row>
    <row r="29" spans="1:30" ht="14.7" customHeight="1">
      <c r="A29" s="1366" t="s">
        <v>170</v>
      </c>
      <c s="1366" t="s">
        <v>171</v>
      </c>
      <c s="1366" t="s">
        <v>172</v>
      </c>
      <c s="1366" t="s">
        <v>173</v>
      </c>
      <c s="1366"/>
      <c s="1368"/>
      <c s="1368"/>
      <c s="540"/>
      <c s="363"/>
      <c s="378"/>
      <c s="358"/>
      <c s="1281"/>
      <c s="368" t="s">
        <v>413</v>
      </c>
      <c s="370"/>
      <c s="370"/>
      <c s="370"/>
      <c s="370"/>
      <c s="370"/>
      <c s="370"/>
      <c s="370"/>
      <c s="370"/>
      <c s="369"/>
      <c s="370"/>
      <c s="306"/>
      <c r="Z29" s="503"/>
      <c s="503" t="str">
        <f>IF(M29="","",M29)</f>
        <v>Добавить схему подключения</v>
      </c>
      <c s="503"/>
      <c s="503"/>
      <c s="1158">
        <v>14</v>
      </c>
    </row>
    <row r="30" spans="1:30" ht="14.7" customHeight="1">
      <c r="A30" s="1366" t="s">
        <v>170</v>
      </c>
      <c s="1366" t="s">
        <v>171</v>
      </c>
      <c s="1366" t="s">
        <v>172</v>
      </c>
      <c s="1366"/>
      <c s="1366" t="s">
        <v>586</v>
      </c>
      <c s="1368"/>
      <c s="1368"/>
      <c s="540"/>
      <c s="363"/>
      <c s="378"/>
      <c s="358"/>
      <c s="1282"/>
      <c s="1271"/>
      <c s="1272"/>
      <c s="1272"/>
      <c s="1272"/>
      <c s="1272"/>
      <c s="1272"/>
      <c s="1272"/>
      <c s="1272"/>
      <c s="1272"/>
      <c s="1273"/>
      <c s="1272"/>
      <c s="1274"/>
      <c r="Z30" s="503"/>
      <c s="503" t="str">
        <f>IF(M30="","",M30)</f>
        <v/>
      </c>
      <c s="503"/>
      <c s="503"/>
      <c s="1158">
        <v>14</v>
      </c>
    </row>
    <row r="31" spans="1:30" ht="14.7" customHeight="1">
      <c r="A31" s="1366" t="s">
        <v>170</v>
      </c>
      <c s="1366" t="s">
        <v>171</v>
      </c>
      <c s="1366"/>
      <c s="1366"/>
      <c s="1366" t="s">
        <v>2229</v>
      </c>
      <c s="1520"/>
      <c s="1520"/>
      <c s="540"/>
      <c s="361"/>
      <c s="378"/>
      <c s="362"/>
      <c s="1282"/>
      <c s="1275"/>
      <c s="1272"/>
      <c s="1272"/>
      <c s="1272"/>
      <c s="1272"/>
      <c s="1272"/>
      <c s="1272"/>
      <c s="1272"/>
      <c s="1272"/>
      <c s="1273"/>
      <c s="1272"/>
      <c s="1274"/>
      <c r="Z31" s="503"/>
      <c s="503" t="str">
        <f>IF(M31="","",M31)</f>
        <v/>
      </c>
      <c s="503"/>
      <c s="503"/>
      <c s="1158">
        <v>14</v>
      </c>
    </row>
    <row r="32" spans="1:30" ht="14.7" customHeight="1">
      <c r="A32" s="1366" t="s">
        <v>2230</v>
      </c>
      <c s="1366"/>
      <c s="1366"/>
      <c s="1366"/>
      <c s="1366" t="s">
        <v>104</v>
      </c>
      <c s="1520"/>
      <c s="1520"/>
      <c s="540"/>
      <c s="363"/>
      <c s="378"/>
      <c s="358"/>
      <c s="1282"/>
      <c s="1276"/>
      <c s="1272"/>
      <c s="1272"/>
      <c s="1272"/>
      <c s="1272"/>
      <c s="1272"/>
      <c s="1272"/>
      <c s="1272"/>
      <c s="1272"/>
      <c s="1273"/>
      <c s="1272"/>
      <c s="1274"/>
      <c r="Z32" s="503"/>
      <c s="503" t="str">
        <f>IF(M32="","",M32)</f>
        <v/>
      </c>
      <c s="503"/>
      <c s="503"/>
      <c s="1158">
        <v>14</v>
      </c>
    </row>
    <row r="33" spans="1:30" s="1853" customFormat="1" ht="11.55" customHeight="1">
      <c r="A33" s="1366"/>
      <c s="1366"/>
      <c s="1366"/>
      <c s="1366"/>
      <c s="1366" t="s">
        <v>448</v>
      </c>
      <c s="1521"/>
      <c s="1522"/>
      <c s="540"/>
      <c r="L33" s="1283"/>
      <c s="1277"/>
      <c s="1272"/>
      <c s="1272"/>
      <c s="1272"/>
      <c s="1272"/>
      <c s="1272"/>
      <c s="1272"/>
      <c s="1272"/>
      <c s="1272"/>
      <c s="1273"/>
      <c s="1272"/>
      <c s="1274"/>
      <c s="382"/>
      <c s="382"/>
      <c s="382"/>
      <c s="382"/>
      <c s="382"/>
      <c s="376">
        <v>11</v>
      </c>
    </row>
    <row r="34" spans="6:30" ht="11.55" customHeight="1">
      <c r="F34" s="1163"/>
      <c s="1163"/>
      <c s="540"/>
      <c s="1158"/>
      <c s="1158"/>
      <c s="1158"/>
      <c r="Y34" s="1158"/>
      <c s="1158"/>
      <c s="1158"/>
      <c s="1158"/>
      <c s="1158"/>
      <c s="1158">
        <v>11</v>
      </c>
    </row>
    <row r="35" spans="8:30" ht="28.5" customHeight="1">
      <c r="H35" s="540"/>
      <c r="L35" s="1291" t="s">
        <v>804</v>
      </c>
      <c s="2288" t="s">
        <v>2231</v>
      </c>
      <c s="2288"/>
      <c s="2288"/>
      <c s="2288"/>
      <c s="2288"/>
      <c s="2288"/>
      <c s="2288"/>
      <c s="2288"/>
      <c s="2288"/>
      <c s="2288"/>
      <c s="2288"/>
      <c s="2288"/>
      <c r="AD35" s="1158">
        <v>27</v>
      </c>
    </row>
    <row r="36" spans="8:30" ht="109.2" customHeight="1">
      <c r="H36" s="540"/>
      <c s="1306"/>
      <c r="M36" s="2288" t="s">
        <v>2232</v>
      </c>
      <c s="2288"/>
      <c s="2288"/>
      <c s="2288"/>
      <c s="2288"/>
      <c s="2288"/>
      <c s="2288"/>
      <c s="2288"/>
      <c s="2288"/>
      <c s="2288"/>
      <c s="2288"/>
      <c s="2288"/>
      <c r="AD36" s="1158">
        <v>104</v>
      </c>
    </row>
    <row r="37" spans="8:30" ht="14.7" customHeight="1">
      <c r="H37" s="540"/>
      <c r="AD37" s="1158">
        <v>14</v>
      </c>
    </row>
    <row r="38" spans="8:30" ht="14.7" customHeight="1">
      <c r="H38" s="540"/>
      <c r="AD38" s="1158">
        <v>14</v>
      </c>
    </row>
    <row r="39" spans="8:30" ht="14.7" customHeight="1">
      <c r="H39" s="540"/>
      <c r="AD39" s="1158">
        <v>14</v>
      </c>
    </row>
    <row r="40" spans="8:30" ht="14.7" customHeight="1">
      <c r="H40" s="540"/>
      <c r="AD40" s="1158">
        <v>14</v>
      </c>
    </row>
    <row r="41" spans="1:30" ht="22.5" customHeight="1" hidden="1">
      <c r="A41" s="1163" t="s">
        <v>81</v>
      </c>
      <c s="1163">
        <v>0</v>
      </c>
      <c s="1163">
        <v>0</v>
      </c>
      <c s="1163">
        <v>0</v>
      </c>
      <c s="1163">
        <v>0</v>
      </c>
      <c s="1365">
        <v>0</v>
      </c>
      <c s="1365">
        <v>0</v>
      </c>
      <c s="1365">
        <v>0</v>
      </c>
      <c s="1289">
        <v>3</v>
      </c>
      <c s="347">
        <v>3</v>
      </c>
      <c s="347">
        <v>3</v>
      </c>
      <c s="584">
        <v>12</v>
      </c>
      <c s="1158">
        <v>31</v>
      </c>
      <c s="1158">
        <v>1</v>
      </c>
      <c s="1158">
        <v>24</v>
      </c>
      <c s="1158">
        <v>24</v>
      </c>
      <c s="1158">
        <v>24</v>
      </c>
      <c s="1158">
        <v>24</v>
      </c>
      <c s="1158">
        <v>11</v>
      </c>
      <c s="1158">
        <v>3</v>
      </c>
      <c s="1158">
        <v>11</v>
      </c>
      <c s="1158">
        <v>8</v>
      </c>
      <c s="1158">
        <v>4</v>
      </c>
      <c s="1158">
        <v>115</v>
      </c>
      <c s="514">
        <v>10</v>
      </c>
      <c s="514">
        <v>10</v>
      </c>
      <c s="514">
        <v>10</v>
      </c>
      <c s="514">
        <v>10</v>
      </c>
      <c s="514">
        <v>10</v>
      </c>
      <c s="1158">
        <v>23</v>
      </c>
    </row>
  </sheetData>
  <sheetProtection formatColumns="0" formatRows="0" insertRows="0" deleteColumns="0" deleteRows="0" sort="0" autoFilter="0"/>
  <mergeCells count="39">
    <mergeCell ref="O19:W19"/>
    <mergeCell ref="O20:W20"/>
    <mergeCell ref="O21:W21"/>
    <mergeCell ref="O22:W22"/>
    <mergeCell ref="F23:F28"/>
    <mergeCell ref="I23:I28"/>
    <mergeCell ref="O23:W23"/>
    <mergeCell ref="G24:G27"/>
    <mergeCell ref="J24:J27"/>
    <mergeCell ref="O24:W24"/>
    <mergeCell ref="O11:U11"/>
    <mergeCell ref="L12:M12"/>
    <mergeCell ref="O13:V13"/>
    <mergeCell ref="L14:W14"/>
    <mergeCell ref="T18:U18"/>
    <mergeCell ref="L5:U5"/>
    <mergeCell ref="L6:U6"/>
    <mergeCell ref="O8:U8"/>
    <mergeCell ref="O9:U9"/>
    <mergeCell ref="O10:U10"/>
    <mergeCell ref="X14:X17"/>
    <mergeCell ref="L15:L17"/>
    <mergeCell ref="M15:M17"/>
    <mergeCell ref="O15:U15"/>
    <mergeCell ref="V15:V17"/>
    <mergeCell ref="W15:W17"/>
    <mergeCell ref="O16:O17"/>
    <mergeCell ref="P16:P17"/>
    <mergeCell ref="Q16:R16"/>
    <mergeCell ref="S16:U16"/>
    <mergeCell ref="T17:U17"/>
    <mergeCell ref="X25:X27"/>
    <mergeCell ref="M35:X35"/>
    <mergeCell ref="M36:X36"/>
    <mergeCell ref="H25:H26"/>
    <mergeCell ref="S25:S26"/>
    <mergeCell ref="T25:T26"/>
    <mergeCell ref="U25:U26"/>
    <mergeCell ref="V25:V26"/>
  </mergeCells>
  <dataValidations count="8">
    <dataValidation allowBlank="1" sqref="L65563:X65569 L131099:X131105 L196635:X196641 L262171:X262177 L327707:X327713 L393243:X393249 L458779:X458785 L524315:X524321 L589851:X589857 L655387:X655393 L720923:X720929 L786459:X786465 L851995:X852001 L917531:X917537 L983067:X983073"/>
    <dataValidation allowBlank="1" promptTitle="checkPeriodRange" sqref="R26 R65562 R131098 R196634 R262170 R327706 R393242 R458778 R524314 R589850 R655386 R720922 R786458 R851994 R917530 R983066"/>
    <dataValidation allowBlank="1" showInputMessage="1" showErrorMessage="1" prompt="Для выбора выполните двойной щелчок левой клавиши мыши по соответствующей ячейке." sqref="T25 T65561 T131097 T196633 T262169 T327705 T393241 T458777 T524313 T589849 T655385 T720921 T786457 T851993 T917529 T983065 V589849 V655385 V720921 V786457 V851993 V917529 V983065 V65561 V131097 V458777 V196633 V262169 V327705 V393241 V25 V52431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25 S65561 S131097 S196633 S262169 S327705 S393241 S458777 S524313 S589849 S655385 S720921 S786457 S851993 S917529 S983065 U65561 U131097 U196633 U262169 U327705 U393241 U458777 U524313 U589849 U655385 U720921 U786457 U851993 U917529 U983065 U25"/>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type="list" allowBlank="1" showInputMessage="1" prompt="Выберите значение из списка" errorTitle="Ошибка" error="Выберите значение из списка" sqref="O65560:W65560 O983064:W983064 O131096:W131096 O196632:W196632 O262168:W262168 O327704:W327704 O393240:W393240 O458776:W458776 O524312:W524312 O589848:W589848 O655384:W655384 O720920:W720920 O786456:W786456 O851992:W851992 O917528:W917528">
      <formula1>kind_of_cons</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showErrorMessage="1" errorTitle="Ошибка" error="Выберите значение из списка" sqref="O65559:P65559 O983063:P983063 O131095:P131095 O196631:P196631 O262167:P262167 O327703:P327703 O393239:P393239 O458775:P458775 O524311:P524311 O589847:P589847 O655383:P655383 O720919:P720919 O786455:P786455 O851991:P851991 O917527:P917527">
      <formula1>kind_of_scheme_in</formula1>
    </dataValidation>
  </dataValidations>
  <pageMargins left="0.7" right="0.7" top="0.75" bottom="0.75" header="0.3" footer="0.3"/>
  <pageSetup orientation="portrait"/>
</worksheet>
</file>

<file path=xl/worksheets/sheet6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m="http://schemas.microsoft.com/office/excel/2006/main" xmlns:x14ac="http://schemas.microsoft.com/office/spreadsheetml/2009/9/ac" xmlns:xr="http://schemas.microsoft.com/office/spreadsheetml/2014/revision" xmlns:xr2="http://schemas.microsoft.com/office/spreadsheetml/2015/revision2" xmlns:xr3="http://schemas.microsoft.com/office/spreadsheetml/2016/revision3" xr:uid="{E06C6C22-94AC-315E-E9F4-EC7F80931B0C}" mc:Ignorable="x14ac xr xr2 xr3">
  <sheetPr>
    <tabColor rgb="FFFFCC99"/>
  </sheetPr>
  <dimension ref="A1"/>
  <sheetViews>
    <sheetView showGridLines="0" workbookViewId="0" topLeftCell="A1">
      <selection pane="topLeft" activeCell="A1" sqref="A1"/>
    </sheetView>
  </sheetViews>
  <sheetFormatPr defaultRowHeight="11.25" customHeight="1"/>
  <sheetData/>
  <sheetProtection insertRows="0" deleteColumns="0" deleteRows="0" sort="0" autoFilter="0"/>
  <pageMargins left="0.7" right="0.7" top="0.75" bottom="0.75" header="0.3" footer="0.3"/>
  <pageSetup orientation="portrait"/>
</worksheet>
</file>

<file path=xl/worksheets/sheet6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m="http://schemas.microsoft.com/office/excel/2006/main" xmlns:x14ac="http://schemas.microsoft.com/office/spreadsheetml/2009/9/ac" xmlns:xr="http://schemas.microsoft.com/office/spreadsheetml/2014/revision" xmlns:xr2="http://schemas.microsoft.com/office/spreadsheetml/2015/revision2" xmlns:xr3="http://schemas.microsoft.com/office/spreadsheetml/2016/revision3" xr:uid="{3F597BA4-5551-F148-03F9-7EE50166E4C1}" mc:Ignorable="x14ac xr xr2 xr3">
  <sheetPr>
    <tabColor rgb="FFFFCC99"/>
  </sheetPr>
  <dimension ref="A1"/>
  <sheetViews>
    <sheetView showGridLines="0" workbookViewId="0" topLeftCell="A1">
      <selection pane="topLeft" activeCell="A1" sqref="A1"/>
    </sheetView>
  </sheetViews>
  <sheetFormatPr defaultRowHeight="11.25" customHeight="1"/>
  <sheetData/>
  <sheetProtection insertRows="0" deleteColumns="0" deleteRows="0" sort="0" autoFilter="0"/>
  <pageMargins left="0.7" right="0.7" top="0.75" bottom="0.75" header="0.3" footer="0.3"/>
  <pageSetup orientation="portrait"/>
</worksheet>
</file>

<file path=xl/worksheets/sheet6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m="http://schemas.microsoft.com/office/excel/2006/main" xmlns:x14ac="http://schemas.microsoft.com/office/spreadsheetml/2009/9/ac" xmlns:xr="http://schemas.microsoft.com/office/spreadsheetml/2014/revision" xmlns:xr2="http://schemas.microsoft.com/office/spreadsheetml/2015/revision2" xmlns:xr3="http://schemas.microsoft.com/office/spreadsheetml/2016/revision3" xr:uid="{EB22614A-3D74-C297-CBA6-D9C1A3346E51}" mc:Ignorable="x14ac xr xr2 xr3">
  <sheetPr>
    <tabColor rgb="FFFFCC99"/>
  </sheetPr>
  <dimension ref="A1"/>
  <sheetViews>
    <sheetView showGridLines="0" workbookViewId="0" topLeftCell="A1">
      <selection pane="topLeft" activeCell="A1" sqref="A1"/>
    </sheetView>
  </sheetViews>
  <sheetFormatPr defaultRowHeight="11.25" customHeight="1"/>
  <sheetData/>
  <sheetProtection insertRows="0" deleteColumns="0" deleteRows="0" sort="0" autoFilter="0"/>
  <pageMargins left="0.7" right="0.7" top="0.75" bottom="0.75" header="0.3" footer="0.3"/>
  <pageSetup orientation="portrait"/>
</worksheet>
</file>

<file path=xl/worksheets/sheet6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m="http://schemas.microsoft.com/office/excel/2006/main" xmlns:x14ac="http://schemas.microsoft.com/office/spreadsheetml/2009/9/ac" xmlns:xr="http://schemas.microsoft.com/office/spreadsheetml/2014/revision" xmlns:xr2="http://schemas.microsoft.com/office/spreadsheetml/2015/revision2" xmlns:xr3="http://schemas.microsoft.com/office/spreadsheetml/2016/revision3" xr:uid="{F4BF92F4-030C-019E-B4F4-DC1DFE5256AD}" mc:Ignorable="x14ac xr xr2 xr3">
  <sheetPr>
    <tabColor rgb="FFFFCC99"/>
  </sheetPr>
  <dimension ref="A1"/>
  <sheetViews>
    <sheetView showGridLines="0" workbookViewId="0" topLeftCell="A1">
      <selection pane="topLeft" activeCell="A1" sqref="A1"/>
    </sheetView>
  </sheetViews>
  <sheetFormatPr defaultRowHeight="11.25" customHeight="1"/>
  <sheetData/>
  <sheetProtection insertRows="0" deleteColumns="0" deleteRows="0" sort="0" autoFilter="0"/>
  <pageMargins left="0.7" right="0.7" top="0.75" bottom="0.75" header="0.3" footer="0.3"/>
  <pageSetup orientation="portrait"/>
</worksheet>
</file>

<file path=xl/worksheets/sheet6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m="http://schemas.microsoft.com/office/excel/2006/main" xmlns:x14ac="http://schemas.microsoft.com/office/spreadsheetml/2009/9/ac" xmlns:xr="http://schemas.microsoft.com/office/spreadsheetml/2014/revision" xmlns:xr2="http://schemas.microsoft.com/office/spreadsheetml/2015/revision2" xmlns:xr3="http://schemas.microsoft.com/office/spreadsheetml/2016/revision3" xr:uid="{A00BAA3C-73DB-D7DD-D363-8BC083EB4F04}" mc:Ignorable="x14ac xr xr2 xr3">
  <sheetPr>
    <tabColor rgb="FFFFCC99"/>
  </sheetPr>
  <dimension ref="A1"/>
  <sheetViews>
    <sheetView showGridLines="0" workbookViewId="0" topLeftCell="A1">
      <selection pane="topLeft" activeCell="A1" sqref="A1"/>
    </sheetView>
  </sheetViews>
  <sheetFormatPr defaultRowHeight="11.25" customHeight="1"/>
  <sheetData/>
  <sheetProtection insertRows="0" deleteColumns="0" deleteRows="0" sort="0" autoFilter="0"/>
  <pageMargins left="0.7" right="0.7" top="0.75" bottom="0.75" header="0.3" footer="0.3"/>
  <pageSetup orientation="portrait"/>
</worksheet>
</file>

<file path=xl/worksheets/sheet7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m="http://schemas.microsoft.com/office/excel/2006/main" xmlns:x14ac="http://schemas.microsoft.com/office/spreadsheetml/2009/9/ac" xmlns:xr="http://schemas.microsoft.com/office/spreadsheetml/2014/revision" xmlns:xr2="http://schemas.microsoft.com/office/spreadsheetml/2015/revision2" xmlns:xr3="http://schemas.microsoft.com/office/spreadsheetml/2016/revision3" xr:uid="{A891BB4D-7662-F287-27AB-21FA837C15C7}" mc:Ignorable="x14ac xr xr2 xr3">
  <sheetPr>
    <tabColor rgb="FFFFCC99"/>
  </sheetPr>
  <dimension ref="A1"/>
  <sheetViews>
    <sheetView showGridLines="0" workbookViewId="0" topLeftCell="A1">
      <selection pane="topLeft" activeCell="A1" sqref="A1"/>
    </sheetView>
  </sheetViews>
  <sheetFormatPr defaultRowHeight="11.25" customHeight="1"/>
  <sheetData/>
  <sheetProtection insertRows="0" deleteColumns="0" deleteRows="0" sort="0" autoFilter="0"/>
  <pageMargins left="0.7" right="0.7" top="0.75" bottom="0.75" header="0.3" footer="0.3"/>
  <pageSetup orientation="portrait"/>
</worksheet>
</file>

<file path=xl/worksheets/sheet7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m="http://schemas.microsoft.com/office/excel/2006/main" xmlns:x14ac="http://schemas.microsoft.com/office/spreadsheetml/2009/9/ac" xmlns:xr="http://schemas.microsoft.com/office/spreadsheetml/2014/revision" xmlns:xr2="http://schemas.microsoft.com/office/spreadsheetml/2015/revision2" xmlns:xr3="http://schemas.microsoft.com/office/spreadsheetml/2016/revision3" xr:uid="{19B566EF-B3A6-A052-33C7-BBD365BCAD46}" mc:Ignorable="x14ac xr xr2 xr3">
  <sheetPr>
    <tabColor rgb="FFFFCC99"/>
  </sheetPr>
  <dimension ref="A1"/>
  <sheetViews>
    <sheetView showGridLines="0" workbookViewId="0" topLeftCell="A1">
      <selection pane="topLeft" activeCell="A1" sqref="A1"/>
    </sheetView>
  </sheetViews>
  <sheetFormatPr defaultRowHeight="11.25" customHeight="1"/>
  <sheetData/>
  <sheetProtection insertRows="0" deleteColumns="0" deleteRows="0" sort="0" autoFilter="0"/>
  <pageMargins left="0.7" right="0.7" top="0.75" bottom="0.75" header="0.3" footer="0.3"/>
  <pageSetup orientation="portrait"/>
</worksheet>
</file>

<file path=xl/worksheets/sheet7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m="http://schemas.microsoft.com/office/excel/2006/main" xmlns:x14ac="http://schemas.microsoft.com/office/spreadsheetml/2009/9/ac" xmlns:xr="http://schemas.microsoft.com/office/spreadsheetml/2014/revision" xmlns:xr2="http://schemas.microsoft.com/office/spreadsheetml/2015/revision2" xmlns:xr3="http://schemas.microsoft.com/office/spreadsheetml/2016/revision3" xr:uid="{426BD8D1-78CD-047F-B5D7-F609BEA2B4F1}" mc:Ignorable="x14ac xr xr2 xr3">
  <sheetPr>
    <tabColor rgb="FFFFCC99"/>
  </sheetPr>
  <dimension ref="A1"/>
  <sheetViews>
    <sheetView showGridLines="0" workbookViewId="0" topLeftCell="A1">
      <selection pane="topLeft" activeCell="A1" sqref="A1"/>
    </sheetView>
  </sheetViews>
  <sheetFormatPr defaultRowHeight="11.25" customHeight="1"/>
  <sheetData>
    <row r="1" spans="1:1" ht="11.25" customHeight="1">
      <c r="A1" s="69"/>
    </row>
  </sheetData>
  <sheetProtection insertRows="0" deleteColumns="0" deleteRows="0" sort="0" autoFilter="0"/>
  <pageMargins left="0.7" right="0.7" top="0.75" bottom="0.75" header="0.3" footer="0.3"/>
  <pageSetup orientation="portrait"/>
</worksheet>
</file>

<file path=xl/worksheets/sheet7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m="http://schemas.microsoft.com/office/excel/2006/main" xmlns:x14ac="http://schemas.microsoft.com/office/spreadsheetml/2009/9/ac" xmlns:xr="http://schemas.microsoft.com/office/spreadsheetml/2014/revision" xmlns:xr2="http://schemas.microsoft.com/office/spreadsheetml/2015/revision2" xmlns:xr3="http://schemas.microsoft.com/office/spreadsheetml/2016/revision3" xr:uid="{5433679B-5014-E222-325B-82E9990CB473}" mc:Ignorable="x14ac xr xr2 xr3">
  <dimension ref="A1:E8"/>
  <sheetViews>
    <sheetView showGridLines="0" workbookViewId="0" topLeftCell="A1">
      <selection pane="topLeft" activeCell="A1" sqref="A1"/>
    </sheetView>
  </sheetViews>
  <sheetFormatPr defaultRowHeight="11.25" customHeight="1"/>
  <cols>
    <col min="1" max="1" width="10.5714285714286" style="67" customWidth="1"/>
    <col min="2" max="2" width="8.71428571428571" style="67" customWidth="1"/>
    <col min="3" max="3" width="18.1428571428571" style="67" customWidth="1"/>
    <col min="4" max="4" width="12.5714285714286" style="67" customWidth="1"/>
  </cols>
  <sheetData>
    <row r="1" spans="1:5" ht="11.25" customHeight="1">
      <c r="A1" s="2618" t="s">
        <v>2233</v>
      </c>
      <c s="2619" t="s">
        <v>2234</v>
      </c>
      <c s="2620" t="s">
        <v>2235</v>
      </c>
      <c s="2621"/>
      <c s="839" t="s">
        <v>2236</v>
      </c>
    </row>
    <row r="2" spans="1:5" ht="11.25" customHeight="1">
      <c r="A2" s="2622"/>
      <c s="768" t="s">
        <v>27</v>
      </c>
      <c s="756"/>
      <c s="767"/>
      <c s="839"/>
    </row>
    <row r="3" spans="1:5" ht="11.25" customHeight="1">
      <c r="A3" s="2623"/>
      <c s="2624" t="s">
        <v>33</v>
      </c>
      <c s="756"/>
      <c s="767"/>
      <c s="839"/>
    </row>
    <row r="4" spans="1:5" ht="11.25" customHeight="1">
      <c r="A4" s="2625"/>
      <c s="769" t="s">
        <v>1660</v>
      </c>
      <c s="756"/>
      <c s="767"/>
      <c s="839"/>
    </row>
    <row r="5" spans="1:5" ht="11.25" customHeight="1">
      <c r="A5" s="2626"/>
      <c s="769" t="s">
        <v>1654</v>
      </c>
      <c s="2627" t="s">
        <v>2000</v>
      </c>
      <c s="2628" t="s">
        <v>2237</v>
      </c>
      <c s="839"/>
    </row>
    <row r="6" spans="1:5" s="1853" customFormat="1" ht="11.25" customHeight="1">
      <c r="A6" s="2629"/>
      <c s="769" t="s">
        <v>1664</v>
      </c>
      <c s="756"/>
      <c s="767"/>
      <c s="839"/>
    </row>
    <row r="7" spans="1:5" ht="11.25" customHeight="1">
      <c r="A7" s="2630"/>
      <c s="769" t="s">
        <v>1672</v>
      </c>
      <c s="756"/>
      <c s="767"/>
      <c s="839"/>
    </row>
    <row r="8" spans="1:5" ht="11.25" customHeight="1">
      <c r="A8" s="759"/>
      <c s="769" t="s">
        <v>1667</v>
      </c>
      <c s="756"/>
      <c s="767"/>
      <c s="839"/>
    </row>
  </sheetData>
  <sheetProtection formatColumns="0" formatRows="0" insertRows="0" deleteColumns="0" deleteRows="0" sort="0" autoFilter="0"/>
  <mergeCells count="1">
    <mergeCell ref="C1:D1"/>
  </mergeCells>
  <pageMargins left="0.7" right="0.7" top="0.75" bottom="0.75" header="0.3" footer="0.3"/>
  <pageSetup orientation="portrait"/>
</worksheet>
</file>

<file path=xl/worksheets/sheet7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m="http://schemas.microsoft.com/office/excel/2006/main" xmlns:x14ac="http://schemas.microsoft.com/office/spreadsheetml/2009/9/ac" xmlns:xr="http://schemas.microsoft.com/office/spreadsheetml/2014/revision" xmlns:xr2="http://schemas.microsoft.com/office/spreadsheetml/2015/revision2" xmlns:xr3="http://schemas.microsoft.com/office/spreadsheetml/2016/revision3" xr:uid="{15F85DB1-4FD4-599C-78A7-ECE5AF29739F}" mc:Ignorable="x14ac xr xr2 xr3">
  <sheetPr>
    <tabColor rgb="FFFFCC99"/>
  </sheetPr>
  <dimension ref="A1"/>
  <sheetViews>
    <sheetView showGridLines="0" workbookViewId="0" topLeftCell="A1">
      <selection pane="topLeft" activeCell="A1" sqref="A1"/>
    </sheetView>
  </sheetViews>
  <sheetFormatPr defaultRowHeight="11.25" customHeight="1"/>
  <sheetData/>
  <sheetProtection insertRows="0" deleteColumns="0" deleteRows="0" sort="0" autoFilter="0"/>
  <pageMargins left="0.7" right="0.7" top="0.75" bottom="0.75" header="0.3" footer="0.3"/>
  <pageSetup orientation="portrait"/>
</worksheet>
</file>

<file path=xl/worksheets/sheet7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m="http://schemas.microsoft.com/office/excel/2006/main" xmlns:x14ac="http://schemas.microsoft.com/office/spreadsheetml/2009/9/ac" xmlns:xr="http://schemas.microsoft.com/office/spreadsheetml/2014/revision" xmlns:xr2="http://schemas.microsoft.com/office/spreadsheetml/2015/revision2" xmlns:xr3="http://schemas.microsoft.com/office/spreadsheetml/2016/revision3" xr:uid="{F4EE16FB-574D-74A1-ED97-D226D5DA7C77}" mc:Ignorable="x14ac xr xr2 xr3">
  <sheetPr>
    <tabColor rgb="FFFFCC99"/>
  </sheetPr>
  <dimension ref="A1"/>
  <sheetViews>
    <sheetView showGridLines="0" workbookViewId="0" topLeftCell="A1">
      <selection pane="topLeft" activeCell="A1" sqref="A1"/>
    </sheetView>
  </sheetViews>
  <sheetFormatPr defaultRowHeight="11.25" customHeight="1"/>
  <sheetData/>
  <sheetProtection insertRows="0" deleteColumns="0" deleteRows="0" sort="0" autoFilter="0"/>
  <pageMargins left="0.7" right="0.7" top="0.75" bottom="0.75" header="0.3" footer="0.3"/>
  <pageSetup orientation="portrait"/>
</worksheet>
</file>

<file path=xl/worksheets/sheet7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m="http://schemas.microsoft.com/office/excel/2006/main" xmlns:x14ac="http://schemas.microsoft.com/office/spreadsheetml/2009/9/ac" xmlns:xr="http://schemas.microsoft.com/office/spreadsheetml/2014/revision" xmlns:xr2="http://schemas.microsoft.com/office/spreadsheetml/2015/revision2" xmlns:xr3="http://schemas.microsoft.com/office/spreadsheetml/2016/revision3" xr:uid="{D1087B0F-F23F-479F-BACD-A75A87AA529D}" mc:Ignorable="x14ac xr xr2 xr3">
  <sheetPr>
    <tabColor rgb="FFFFCC99"/>
  </sheetPr>
  <dimension ref="A1:I1200"/>
  <sheetViews>
    <sheetView showGridLines="0" workbookViewId="0" topLeftCell="A1">
      <selection pane="topLeft" activeCell="A1" sqref="A1"/>
    </sheetView>
  </sheetViews>
  <sheetFormatPr defaultColWidth="9.14428571428571" defaultRowHeight="11.25" customHeight="1"/>
  <cols>
    <col min="1" max="2" width="9.14285714285714" style="1853"/>
    <col min="3" max="3" width="20.7142857142857" style="1853" customWidth="1"/>
    <col min="4" max="4" width="25.1428571428571" style="1853" customWidth="1"/>
    <col min="5" max="9" width="9.14285714285714" style="1853"/>
  </cols>
  <sheetData>
    <row r="1" spans="1:9" ht="11.25" customHeight="1">
      <c r="A1" s="71" t="s">
        <v>2238</v>
      </c>
      <c s="71" t="s">
        <v>2239</v>
      </c>
      <c s="71" t="s">
        <v>2240</v>
      </c>
      <c s="71" t="s">
        <v>2241</v>
      </c>
      <c s="71" t="s">
        <v>2242</v>
      </c>
      <c s="71" t="s">
        <v>2243</v>
      </c>
      <c s="71" t="s">
        <v>2244</v>
      </c>
      <c s="71" t="s">
        <v>2245</v>
      </c>
      <c s="71" t="s">
        <v>2246</v>
      </c>
    </row>
    <row r="2" spans="1:9" ht="11.25" customHeight="1">
      <c r="A2" s="1853" t="s">
        <v>2247</v>
      </c>
      <c s="1853" t="s">
        <v>16</v>
      </c>
      <c s="1853" t="s">
        <v>2248</v>
      </c>
      <c s="1853" t="s">
        <v>2249</v>
      </c>
      <c s="1853" t="s">
        <v>2250</v>
      </c>
      <c s="1853" t="s">
        <v>2251</v>
      </c>
      <c s="1853" t="s">
        <v>2252</v>
      </c>
      <c s="1853" t="s">
        <v>22</v>
      </c>
      <c s="1853" t="s">
        <v>808</v>
      </c>
    </row>
    <row r="3" spans="1:9" ht="11.25" customHeight="1">
      <c r="A3" s="1853" t="s">
        <v>2247</v>
      </c>
      <c s="1853" t="s">
        <v>16</v>
      </c>
      <c s="1853" t="s">
        <v>2253</v>
      </c>
      <c s="1853" t="s">
        <v>2254</v>
      </c>
      <c s="1853" t="s">
        <v>2255</v>
      </c>
      <c s="1853" t="s">
        <v>2256</v>
      </c>
      <c s="1853" t="s">
        <v>22</v>
      </c>
      <c s="1853" t="s">
        <v>22</v>
      </c>
      <c s="1853" t="s">
        <v>808</v>
      </c>
    </row>
    <row r="4" spans="1:9" ht="11.25" customHeight="1">
      <c r="A4" s="1853" t="s">
        <v>2247</v>
      </c>
      <c s="1853" t="s">
        <v>16</v>
      </c>
      <c s="1853" t="s">
        <v>2257</v>
      </c>
      <c s="1853" t="s">
        <v>2258</v>
      </c>
      <c s="1853" t="s">
        <v>2259</v>
      </c>
      <c s="1853" t="s">
        <v>2260</v>
      </c>
      <c s="1853" t="s">
        <v>2261</v>
      </c>
      <c s="1853" t="s">
        <v>22</v>
      </c>
      <c s="1853" t="s">
        <v>808</v>
      </c>
    </row>
    <row r="5" spans="1:9" ht="11.25" customHeight="1">
      <c r="A5" s="1853" t="s">
        <v>2247</v>
      </c>
      <c s="1853" t="s">
        <v>16</v>
      </c>
      <c s="1853" t="s">
        <v>2262</v>
      </c>
      <c s="1853" t="s">
        <v>2263</v>
      </c>
      <c s="1853" t="s">
        <v>2264</v>
      </c>
      <c s="1853" t="s">
        <v>2265</v>
      </c>
      <c s="1853" t="s">
        <v>2266</v>
      </c>
      <c s="1853" t="s">
        <v>22</v>
      </c>
      <c s="1853" t="s">
        <v>808</v>
      </c>
    </row>
    <row r="6" spans="1:9" ht="11.25" customHeight="1">
      <c r="A6" s="1853" t="s">
        <v>2247</v>
      </c>
      <c s="1853" t="s">
        <v>16</v>
      </c>
      <c s="1853" t="s">
        <v>2267</v>
      </c>
      <c s="1853" t="s">
        <v>2268</v>
      </c>
      <c s="1853" t="s">
        <v>2269</v>
      </c>
      <c s="1853" t="s">
        <v>2270</v>
      </c>
      <c s="1853" t="s">
        <v>2271</v>
      </c>
      <c s="1853" t="s">
        <v>22</v>
      </c>
      <c s="1853" t="s">
        <v>808</v>
      </c>
    </row>
    <row r="7" spans="1:9" ht="11.25" customHeight="1">
      <c r="A7" s="1853" t="s">
        <v>2247</v>
      </c>
      <c s="1853" t="s">
        <v>16</v>
      </c>
      <c s="1853" t="s">
        <v>2272</v>
      </c>
      <c s="1853" t="s">
        <v>2273</v>
      </c>
      <c s="1853" t="s">
        <v>2274</v>
      </c>
      <c s="1853" t="s">
        <v>2275</v>
      </c>
      <c s="1853" t="s">
        <v>22</v>
      </c>
      <c s="1853" t="s">
        <v>22</v>
      </c>
      <c s="1853" t="s">
        <v>808</v>
      </c>
    </row>
    <row r="8" spans="1:9" ht="11.25" customHeight="1">
      <c r="A8" s="1853" t="s">
        <v>2247</v>
      </c>
      <c s="1853" t="s">
        <v>16</v>
      </c>
      <c s="1853" t="s">
        <v>2276</v>
      </c>
      <c s="1853" t="s">
        <v>2277</v>
      </c>
      <c s="1853" t="s">
        <v>2278</v>
      </c>
      <c s="1853" t="s">
        <v>2279</v>
      </c>
      <c s="1853" t="s">
        <v>22</v>
      </c>
      <c s="1853" t="s">
        <v>22</v>
      </c>
      <c s="1853" t="s">
        <v>808</v>
      </c>
    </row>
    <row r="9" spans="1:9" ht="11.25" customHeight="1">
      <c r="A9" s="1853" t="s">
        <v>2247</v>
      </c>
      <c s="1853" t="s">
        <v>16</v>
      </c>
      <c s="1853" t="s">
        <v>2280</v>
      </c>
      <c s="1853" t="s">
        <v>2281</v>
      </c>
      <c s="1853" t="s">
        <v>2282</v>
      </c>
      <c s="1853" t="s">
        <v>2283</v>
      </c>
      <c s="1853" t="s">
        <v>22</v>
      </c>
      <c s="1853" t="s">
        <v>22</v>
      </c>
      <c s="1853" t="s">
        <v>808</v>
      </c>
    </row>
    <row r="10" spans="1:9" ht="11.25" customHeight="1">
      <c r="A10" s="1853" t="s">
        <v>2247</v>
      </c>
      <c s="1853" t="s">
        <v>16</v>
      </c>
      <c s="1853" t="s">
        <v>2284</v>
      </c>
      <c s="1853" t="s">
        <v>2285</v>
      </c>
      <c s="1853" t="s">
        <v>2286</v>
      </c>
      <c s="1853" t="s">
        <v>2279</v>
      </c>
      <c s="1853" t="s">
        <v>22</v>
      </c>
      <c s="1853" t="s">
        <v>22</v>
      </c>
      <c s="1853" t="s">
        <v>808</v>
      </c>
    </row>
    <row r="11" spans="1:9" ht="11.25" customHeight="1">
      <c r="A11" s="1853" t="s">
        <v>2247</v>
      </c>
      <c s="1853" t="s">
        <v>16</v>
      </c>
      <c s="1853" t="s">
        <v>2287</v>
      </c>
      <c s="1853" t="s">
        <v>2288</v>
      </c>
      <c s="1853" t="s">
        <v>2289</v>
      </c>
      <c s="1853" t="s">
        <v>2290</v>
      </c>
      <c s="1853" t="s">
        <v>22</v>
      </c>
      <c s="1853" t="s">
        <v>22</v>
      </c>
      <c s="1853" t="s">
        <v>808</v>
      </c>
    </row>
    <row r="12" spans="1:9" ht="11.25" customHeight="1">
      <c r="A12" s="1853" t="s">
        <v>2247</v>
      </c>
      <c s="1853" t="s">
        <v>16</v>
      </c>
      <c s="1853" t="s">
        <v>2291</v>
      </c>
      <c s="1853" t="s">
        <v>2292</v>
      </c>
      <c s="1853" t="s">
        <v>2293</v>
      </c>
      <c s="1853" t="s">
        <v>2294</v>
      </c>
      <c s="1853" t="s">
        <v>22</v>
      </c>
      <c s="1853" t="s">
        <v>22</v>
      </c>
      <c s="1853" t="s">
        <v>808</v>
      </c>
    </row>
    <row r="13" spans="1:9" ht="11.25" customHeight="1">
      <c r="A13" s="1853" t="s">
        <v>2247</v>
      </c>
      <c s="1853" t="s">
        <v>16</v>
      </c>
      <c s="1853" t="s">
        <v>2295</v>
      </c>
      <c s="1853" t="s">
        <v>2296</v>
      </c>
      <c s="1853" t="s">
        <v>2297</v>
      </c>
      <c s="1853" t="s">
        <v>51</v>
      </c>
      <c s="1853" t="s">
        <v>22</v>
      </c>
      <c s="1853" t="s">
        <v>22</v>
      </c>
      <c s="1853" t="s">
        <v>808</v>
      </c>
    </row>
    <row r="14" spans="1:9" ht="11.25" customHeight="1">
      <c r="A14" s="1853" t="s">
        <v>2247</v>
      </c>
      <c s="1853" t="s">
        <v>16</v>
      </c>
      <c s="1853" t="s">
        <v>2298</v>
      </c>
      <c s="1853" t="s">
        <v>2299</v>
      </c>
      <c s="1853" t="s">
        <v>2300</v>
      </c>
      <c s="1853" t="s">
        <v>2301</v>
      </c>
      <c s="1853" t="s">
        <v>22</v>
      </c>
      <c s="1853" t="s">
        <v>22</v>
      </c>
      <c s="1853" t="s">
        <v>808</v>
      </c>
    </row>
    <row r="15" spans="1:9" ht="11.25" customHeight="1">
      <c r="A15" s="1853" t="s">
        <v>2247</v>
      </c>
      <c s="1853" t="s">
        <v>16</v>
      </c>
      <c s="1853" t="s">
        <v>2302</v>
      </c>
      <c s="1853" t="s">
        <v>2303</v>
      </c>
      <c s="1853" t="s">
        <v>2304</v>
      </c>
      <c s="1853" t="s">
        <v>2290</v>
      </c>
      <c s="1853" t="s">
        <v>22</v>
      </c>
      <c s="1853" t="s">
        <v>22</v>
      </c>
      <c s="1853" t="s">
        <v>808</v>
      </c>
    </row>
    <row r="16" spans="1:9" ht="11.25" customHeight="1">
      <c r="A16" s="1853" t="s">
        <v>2247</v>
      </c>
      <c s="1853" t="s">
        <v>16</v>
      </c>
      <c s="1853" t="s">
        <v>2305</v>
      </c>
      <c s="1853" t="s">
        <v>2306</v>
      </c>
      <c s="1853" t="s">
        <v>2307</v>
      </c>
      <c s="1853" t="s">
        <v>2251</v>
      </c>
      <c s="1853" t="s">
        <v>2308</v>
      </c>
      <c s="1853" t="s">
        <v>22</v>
      </c>
      <c s="1853" t="s">
        <v>808</v>
      </c>
    </row>
    <row r="17" spans="1:9" ht="11.25" customHeight="1">
      <c r="A17" s="1853" t="s">
        <v>2247</v>
      </c>
      <c s="1853" t="s">
        <v>16</v>
      </c>
      <c s="1853" t="s">
        <v>2309</v>
      </c>
      <c s="1853" t="s">
        <v>2310</v>
      </c>
      <c s="1853" t="s">
        <v>2311</v>
      </c>
      <c s="1853" t="s">
        <v>2270</v>
      </c>
      <c s="1853" t="s">
        <v>22</v>
      </c>
      <c s="1853" t="s">
        <v>22</v>
      </c>
      <c s="1853" t="s">
        <v>808</v>
      </c>
    </row>
    <row r="18" spans="1:9" ht="11.25" customHeight="1">
      <c r="A18" s="1853" t="s">
        <v>2247</v>
      </c>
      <c s="1853" t="s">
        <v>16</v>
      </c>
      <c s="1853" t="s">
        <v>2312</v>
      </c>
      <c s="1853" t="s">
        <v>2313</v>
      </c>
      <c s="1853" t="s">
        <v>2314</v>
      </c>
      <c s="1853" t="s">
        <v>2315</v>
      </c>
      <c s="1853" t="s">
        <v>22</v>
      </c>
      <c s="1853" t="s">
        <v>22</v>
      </c>
      <c s="1853" t="s">
        <v>808</v>
      </c>
    </row>
    <row r="19" spans="1:9" ht="11.25" customHeight="1">
      <c r="A19" s="1853" t="s">
        <v>2247</v>
      </c>
      <c s="1853" t="s">
        <v>16</v>
      </c>
      <c s="1853" t="s">
        <v>2316</v>
      </c>
      <c s="1853" t="s">
        <v>2317</v>
      </c>
      <c s="1853" t="s">
        <v>2318</v>
      </c>
      <c s="1853" t="s">
        <v>2319</v>
      </c>
      <c s="1853" t="s">
        <v>2320</v>
      </c>
      <c s="1853" t="s">
        <v>22</v>
      </c>
      <c s="1853" t="s">
        <v>808</v>
      </c>
    </row>
    <row r="20" spans="1:9" ht="11.25" customHeight="1">
      <c r="A20" s="1853" t="s">
        <v>2247</v>
      </c>
      <c s="1853" t="s">
        <v>16</v>
      </c>
      <c s="1853" t="s">
        <v>2321</v>
      </c>
      <c s="1853" t="s">
        <v>2322</v>
      </c>
      <c s="1853" t="s">
        <v>2323</v>
      </c>
      <c s="1853" t="s">
        <v>2324</v>
      </c>
      <c s="1853" t="s">
        <v>22</v>
      </c>
      <c s="1853" t="s">
        <v>22</v>
      </c>
      <c s="1853" t="s">
        <v>808</v>
      </c>
    </row>
    <row r="21" spans="1:9" ht="11.25" customHeight="1">
      <c r="A21" s="1853" t="s">
        <v>2247</v>
      </c>
      <c s="1853" t="s">
        <v>16</v>
      </c>
      <c s="1853" t="s">
        <v>2325</v>
      </c>
      <c s="1853" t="s">
        <v>2326</v>
      </c>
      <c s="1853" t="s">
        <v>2327</v>
      </c>
      <c s="1853" t="s">
        <v>2328</v>
      </c>
      <c s="1853" t="s">
        <v>22</v>
      </c>
      <c s="1853" t="s">
        <v>22</v>
      </c>
      <c s="1853" t="s">
        <v>808</v>
      </c>
    </row>
    <row r="22" spans="1:9" ht="11.25" customHeight="1">
      <c r="A22" s="1853" t="s">
        <v>2247</v>
      </c>
      <c s="1853" t="s">
        <v>16</v>
      </c>
      <c s="1853" t="s">
        <v>2329</v>
      </c>
      <c s="1853" t="s">
        <v>2330</v>
      </c>
      <c s="1853" t="s">
        <v>2331</v>
      </c>
      <c s="1853" t="s">
        <v>2328</v>
      </c>
      <c s="1853" t="s">
        <v>22</v>
      </c>
      <c s="1853" t="s">
        <v>22</v>
      </c>
      <c s="1853" t="s">
        <v>808</v>
      </c>
    </row>
    <row r="23" spans="1:9" ht="11.25" customHeight="1">
      <c r="A23" s="1853" t="s">
        <v>2247</v>
      </c>
      <c s="1853" t="s">
        <v>16</v>
      </c>
      <c s="1853" t="s">
        <v>2332</v>
      </c>
      <c s="1853" t="s">
        <v>2333</v>
      </c>
      <c s="1853" t="s">
        <v>2334</v>
      </c>
      <c s="1853" t="s">
        <v>2335</v>
      </c>
      <c s="1853" t="s">
        <v>22</v>
      </c>
      <c s="1853" t="s">
        <v>22</v>
      </c>
      <c s="1853" t="s">
        <v>808</v>
      </c>
    </row>
    <row r="24" spans="1:9" ht="11.25" customHeight="1">
      <c r="A24" s="1853" t="s">
        <v>2247</v>
      </c>
      <c s="1853" t="s">
        <v>16</v>
      </c>
      <c s="1853" t="s">
        <v>2336</v>
      </c>
      <c s="1853" t="s">
        <v>2337</v>
      </c>
      <c s="1853" t="s">
        <v>2338</v>
      </c>
      <c s="1853" t="s">
        <v>2339</v>
      </c>
      <c s="1853" t="s">
        <v>2340</v>
      </c>
      <c s="1853" t="s">
        <v>22</v>
      </c>
      <c s="1853" t="s">
        <v>808</v>
      </c>
    </row>
    <row r="25" spans="1:9" ht="11.25" customHeight="1">
      <c r="A25" s="1853" t="s">
        <v>2247</v>
      </c>
      <c s="1853" t="s">
        <v>16</v>
      </c>
      <c s="1853" t="s">
        <v>2341</v>
      </c>
      <c s="1853" t="s">
        <v>2342</v>
      </c>
      <c s="1853" t="s">
        <v>2343</v>
      </c>
      <c s="1853" t="s">
        <v>2283</v>
      </c>
      <c s="1853" t="s">
        <v>2344</v>
      </c>
      <c s="1853" t="s">
        <v>22</v>
      </c>
      <c s="1853" t="s">
        <v>808</v>
      </c>
    </row>
    <row r="26" spans="1:9" ht="11.25" customHeight="1">
      <c r="A26" s="1853" t="s">
        <v>2247</v>
      </c>
      <c s="1853" t="s">
        <v>16</v>
      </c>
      <c s="1853" t="s">
        <v>2345</v>
      </c>
      <c s="1853" t="s">
        <v>2346</v>
      </c>
      <c s="1853" t="s">
        <v>2347</v>
      </c>
      <c s="1853" t="s">
        <v>2348</v>
      </c>
      <c s="1853" t="s">
        <v>22</v>
      </c>
      <c s="1853" t="s">
        <v>22</v>
      </c>
      <c s="1853" t="s">
        <v>808</v>
      </c>
    </row>
    <row r="27" spans="1:9" ht="11.25" customHeight="1">
      <c r="A27" s="1853" t="s">
        <v>2247</v>
      </c>
      <c s="1853" t="s">
        <v>16</v>
      </c>
      <c s="1853" t="s">
        <v>2349</v>
      </c>
      <c s="1853" t="s">
        <v>2350</v>
      </c>
      <c s="1853" t="s">
        <v>2351</v>
      </c>
      <c s="1853" t="s">
        <v>2328</v>
      </c>
      <c s="1853" t="s">
        <v>22</v>
      </c>
      <c s="1853" t="s">
        <v>22</v>
      </c>
      <c s="1853" t="s">
        <v>808</v>
      </c>
    </row>
    <row r="28" spans="1:9" ht="11.25" customHeight="1">
      <c r="A28" s="1853" t="s">
        <v>2247</v>
      </c>
      <c s="1853" t="s">
        <v>16</v>
      </c>
      <c s="1853" t="s">
        <v>2352</v>
      </c>
      <c s="1853" t="s">
        <v>2353</v>
      </c>
      <c s="1853" t="s">
        <v>2354</v>
      </c>
      <c s="1853" t="s">
        <v>2355</v>
      </c>
      <c s="1853" t="s">
        <v>22</v>
      </c>
      <c s="1853" t="s">
        <v>22</v>
      </c>
      <c s="1853" t="s">
        <v>808</v>
      </c>
    </row>
    <row r="29" spans="1:9" ht="11.25" customHeight="1">
      <c r="A29" s="1853" t="s">
        <v>2247</v>
      </c>
      <c s="1853" t="s">
        <v>16</v>
      </c>
      <c s="1853" t="s">
        <v>2356</v>
      </c>
      <c s="1853" t="s">
        <v>2357</v>
      </c>
      <c s="1853" t="s">
        <v>2358</v>
      </c>
      <c s="1853" t="s">
        <v>2290</v>
      </c>
      <c s="1853" t="s">
        <v>22</v>
      </c>
      <c s="1853" t="s">
        <v>22</v>
      </c>
      <c s="1853" t="s">
        <v>808</v>
      </c>
    </row>
    <row r="30" spans="1:9" ht="11.25" customHeight="1">
      <c r="A30" s="1853" t="s">
        <v>2247</v>
      </c>
      <c s="1853" t="s">
        <v>16</v>
      </c>
      <c s="1853" t="s">
        <v>2359</v>
      </c>
      <c s="1853" t="s">
        <v>2360</v>
      </c>
      <c s="1853" t="s">
        <v>2361</v>
      </c>
      <c s="1853" t="s">
        <v>2362</v>
      </c>
      <c s="1853" t="s">
        <v>2363</v>
      </c>
      <c s="1853" t="s">
        <v>22</v>
      </c>
      <c s="1853" t="s">
        <v>808</v>
      </c>
    </row>
    <row r="31" spans="1:9" ht="11.25" customHeight="1">
      <c r="A31" s="1853" t="s">
        <v>2247</v>
      </c>
      <c s="1853" t="s">
        <v>16</v>
      </c>
      <c s="1853" t="s">
        <v>2364</v>
      </c>
      <c s="1853" t="s">
        <v>2365</v>
      </c>
      <c s="1853" t="s">
        <v>2366</v>
      </c>
      <c s="1853" t="s">
        <v>2348</v>
      </c>
      <c s="1853" t="s">
        <v>22</v>
      </c>
      <c s="1853" t="s">
        <v>22</v>
      </c>
      <c s="1853" t="s">
        <v>808</v>
      </c>
    </row>
    <row r="32" spans="1:9" ht="11.25" customHeight="1">
      <c r="A32" s="1853" t="s">
        <v>2247</v>
      </c>
      <c s="1853" t="s">
        <v>16</v>
      </c>
      <c s="1853" t="s">
        <v>2367</v>
      </c>
      <c s="1853" t="s">
        <v>2368</v>
      </c>
      <c s="1853" t="s">
        <v>2369</v>
      </c>
      <c s="1853" t="s">
        <v>2370</v>
      </c>
      <c s="1853" t="s">
        <v>22</v>
      </c>
      <c s="1853" t="s">
        <v>22</v>
      </c>
      <c s="1853" t="s">
        <v>808</v>
      </c>
    </row>
    <row r="33" spans="1:9" ht="11.25" customHeight="1">
      <c r="A33" s="1853" t="s">
        <v>2247</v>
      </c>
      <c s="1853" t="s">
        <v>16</v>
      </c>
      <c s="1853" t="s">
        <v>2371</v>
      </c>
      <c s="1853" t="s">
        <v>2372</v>
      </c>
      <c s="1853" t="s">
        <v>2373</v>
      </c>
      <c s="1853" t="s">
        <v>2374</v>
      </c>
      <c s="1853" t="s">
        <v>2375</v>
      </c>
      <c s="1853" t="s">
        <v>22</v>
      </c>
      <c s="1853" t="s">
        <v>808</v>
      </c>
    </row>
    <row r="34" spans="1:9" ht="11.25" customHeight="1">
      <c r="A34" s="1853" t="s">
        <v>2247</v>
      </c>
      <c s="1853" t="s">
        <v>16</v>
      </c>
      <c s="1853" t="s">
        <v>2376</v>
      </c>
      <c s="1853" t="s">
        <v>2377</v>
      </c>
      <c s="1853" t="s">
        <v>2378</v>
      </c>
      <c s="1853" t="s">
        <v>2290</v>
      </c>
      <c s="1853" t="s">
        <v>22</v>
      </c>
      <c s="1853" t="s">
        <v>22</v>
      </c>
      <c s="1853" t="s">
        <v>808</v>
      </c>
    </row>
    <row r="35" spans="1:9" ht="11.25" customHeight="1">
      <c r="A35" s="1853" t="s">
        <v>2247</v>
      </c>
      <c s="1853" t="s">
        <v>16</v>
      </c>
      <c s="1853" t="s">
        <v>2379</v>
      </c>
      <c s="1853" t="s">
        <v>2380</v>
      </c>
      <c s="1853" t="s">
        <v>2381</v>
      </c>
      <c s="1853" t="s">
        <v>2382</v>
      </c>
      <c s="1853" t="s">
        <v>22</v>
      </c>
      <c s="1853" t="s">
        <v>22</v>
      </c>
      <c s="1853" t="s">
        <v>808</v>
      </c>
    </row>
    <row r="36" spans="1:9" ht="11.25" customHeight="1">
      <c r="A36" s="1853" t="s">
        <v>2247</v>
      </c>
      <c s="1853" t="s">
        <v>16</v>
      </c>
      <c s="1853" t="s">
        <v>2383</v>
      </c>
      <c s="1853" t="s">
        <v>2384</v>
      </c>
      <c s="1853" t="s">
        <v>2385</v>
      </c>
      <c s="1853" t="s">
        <v>2386</v>
      </c>
      <c s="1853" t="s">
        <v>2387</v>
      </c>
      <c s="1853" t="s">
        <v>22</v>
      </c>
      <c s="1853" t="s">
        <v>808</v>
      </c>
    </row>
    <row r="37" spans="1:9" ht="11.25" customHeight="1">
      <c r="A37" s="1853" t="s">
        <v>2247</v>
      </c>
      <c s="1853" t="s">
        <v>16</v>
      </c>
      <c s="1853" t="s">
        <v>2388</v>
      </c>
      <c s="1853" t="s">
        <v>2389</v>
      </c>
      <c s="1853" t="s">
        <v>2390</v>
      </c>
      <c s="1853" t="s">
        <v>2391</v>
      </c>
      <c s="1853" t="s">
        <v>22</v>
      </c>
      <c s="1853" t="s">
        <v>22</v>
      </c>
      <c s="1853" t="s">
        <v>808</v>
      </c>
    </row>
    <row r="38" spans="1:9" ht="11.25" customHeight="1">
      <c r="A38" s="1853" t="s">
        <v>2247</v>
      </c>
      <c s="1853" t="s">
        <v>16</v>
      </c>
      <c s="1853" t="s">
        <v>2392</v>
      </c>
      <c s="1853" t="s">
        <v>2393</v>
      </c>
      <c s="1853" t="s">
        <v>2394</v>
      </c>
      <c s="1853" t="s">
        <v>2395</v>
      </c>
      <c s="1853" t="s">
        <v>22</v>
      </c>
      <c s="1853" t="s">
        <v>22</v>
      </c>
      <c s="1853" t="s">
        <v>808</v>
      </c>
    </row>
    <row r="39" spans="1:9" ht="11.25" customHeight="1">
      <c r="A39" s="1853" t="s">
        <v>2247</v>
      </c>
      <c s="1853" t="s">
        <v>16</v>
      </c>
      <c s="1853" t="s">
        <v>2396</v>
      </c>
      <c s="1853" t="s">
        <v>2397</v>
      </c>
      <c s="1853" t="s">
        <v>2398</v>
      </c>
      <c s="1853" t="s">
        <v>2275</v>
      </c>
      <c s="1853" t="s">
        <v>2399</v>
      </c>
      <c s="1853" t="s">
        <v>22</v>
      </c>
      <c s="1853" t="s">
        <v>808</v>
      </c>
    </row>
    <row r="40" spans="1:9" ht="11.25" customHeight="1">
      <c r="A40" s="1853" t="s">
        <v>2247</v>
      </c>
      <c s="1853" t="s">
        <v>16</v>
      </c>
      <c s="1853" t="s">
        <v>2400</v>
      </c>
      <c s="1853" t="s">
        <v>2401</v>
      </c>
      <c s="1853" t="s">
        <v>2402</v>
      </c>
      <c s="1853" t="s">
        <v>2403</v>
      </c>
      <c s="1853" t="s">
        <v>22</v>
      </c>
      <c s="1853" t="s">
        <v>22</v>
      </c>
      <c s="1853" t="s">
        <v>808</v>
      </c>
    </row>
    <row r="41" spans="1:9" ht="11.25" customHeight="1">
      <c r="A41" s="1853" t="s">
        <v>2247</v>
      </c>
      <c s="1853" t="s">
        <v>16</v>
      </c>
      <c s="1853" t="s">
        <v>2404</v>
      </c>
      <c s="1853" t="s">
        <v>2405</v>
      </c>
      <c s="1853" t="s">
        <v>2406</v>
      </c>
      <c s="1853" t="s">
        <v>2348</v>
      </c>
      <c s="1853" t="s">
        <v>22</v>
      </c>
      <c s="1853" t="s">
        <v>22</v>
      </c>
      <c s="1853" t="s">
        <v>808</v>
      </c>
    </row>
    <row r="42" spans="1:9" ht="11.25" customHeight="1">
      <c r="A42" s="1853" t="s">
        <v>2247</v>
      </c>
      <c s="1853" t="s">
        <v>16</v>
      </c>
      <c s="1853" t="s">
        <v>2407</v>
      </c>
      <c s="1853" t="s">
        <v>2408</v>
      </c>
      <c s="1853" t="s">
        <v>2409</v>
      </c>
      <c s="1853" t="s">
        <v>2294</v>
      </c>
      <c s="1853" t="s">
        <v>22</v>
      </c>
      <c s="1853" t="s">
        <v>22</v>
      </c>
      <c s="1853" t="s">
        <v>808</v>
      </c>
    </row>
    <row r="43" spans="1:9" ht="11.25" customHeight="1">
      <c r="A43" s="1853" t="s">
        <v>2247</v>
      </c>
      <c s="1853" t="s">
        <v>16</v>
      </c>
      <c s="1853" t="s">
        <v>2410</v>
      </c>
      <c s="1853" t="s">
        <v>2411</v>
      </c>
      <c s="1853" t="s">
        <v>2286</v>
      </c>
      <c s="1853" t="s">
        <v>2412</v>
      </c>
      <c s="1853" t="s">
        <v>22</v>
      </c>
      <c s="1853" t="s">
        <v>22</v>
      </c>
      <c s="1853" t="s">
        <v>808</v>
      </c>
    </row>
    <row r="44" spans="1:9" ht="11.25" customHeight="1">
      <c r="A44" s="1853" t="s">
        <v>2247</v>
      </c>
      <c s="1853" t="s">
        <v>16</v>
      </c>
      <c s="1853" t="s">
        <v>2413</v>
      </c>
      <c s="1853" t="s">
        <v>2414</v>
      </c>
      <c s="1853" t="s">
        <v>2415</v>
      </c>
      <c s="1853" t="s">
        <v>2256</v>
      </c>
      <c s="1853" t="s">
        <v>2416</v>
      </c>
      <c s="1853" t="s">
        <v>22</v>
      </c>
      <c s="1853" t="s">
        <v>808</v>
      </c>
    </row>
    <row r="45" spans="1:9" ht="11.25" customHeight="1">
      <c r="A45" s="1853" t="s">
        <v>2247</v>
      </c>
      <c s="1853" t="s">
        <v>16</v>
      </c>
      <c s="1853" t="s">
        <v>2417</v>
      </c>
      <c s="1853" t="s">
        <v>2418</v>
      </c>
      <c s="1853" t="s">
        <v>2419</v>
      </c>
      <c s="1853" t="s">
        <v>2251</v>
      </c>
      <c s="1853" t="s">
        <v>22</v>
      </c>
      <c s="1853" t="s">
        <v>22</v>
      </c>
      <c s="1853" t="s">
        <v>808</v>
      </c>
    </row>
    <row r="46" spans="1:9" ht="11.25" customHeight="1">
      <c r="A46" s="1853" t="s">
        <v>2247</v>
      </c>
      <c s="1853" t="s">
        <v>16</v>
      </c>
      <c s="1853" t="s">
        <v>2420</v>
      </c>
      <c s="1853" t="s">
        <v>2421</v>
      </c>
      <c s="1853" t="s">
        <v>2422</v>
      </c>
      <c s="1853" t="s">
        <v>2283</v>
      </c>
      <c s="1853" t="s">
        <v>22</v>
      </c>
      <c s="1853" t="s">
        <v>22</v>
      </c>
      <c s="1853" t="s">
        <v>808</v>
      </c>
    </row>
    <row r="47" spans="1:9" ht="11.25" customHeight="1">
      <c r="A47" s="1853" t="s">
        <v>2247</v>
      </c>
      <c s="1853" t="s">
        <v>16</v>
      </c>
      <c s="1853" t="s">
        <v>2423</v>
      </c>
      <c s="1853" t="s">
        <v>2424</v>
      </c>
      <c s="1853" t="s">
        <v>2425</v>
      </c>
      <c s="1853" t="s">
        <v>2260</v>
      </c>
      <c s="1853" t="s">
        <v>2426</v>
      </c>
      <c s="1853" t="s">
        <v>22</v>
      </c>
      <c s="1853" t="s">
        <v>808</v>
      </c>
    </row>
    <row r="48" spans="1:9" ht="11.25" customHeight="1">
      <c r="A48" s="1853" t="s">
        <v>2247</v>
      </c>
      <c s="1853" t="s">
        <v>16</v>
      </c>
      <c s="1853" t="s">
        <v>2427</v>
      </c>
      <c s="1853" t="s">
        <v>2428</v>
      </c>
      <c s="1853" t="s">
        <v>2429</v>
      </c>
      <c s="1853" t="s">
        <v>2290</v>
      </c>
      <c s="1853" t="s">
        <v>2430</v>
      </c>
      <c s="1853" t="s">
        <v>22</v>
      </c>
      <c s="1853" t="s">
        <v>808</v>
      </c>
    </row>
    <row r="49" spans="1:9" ht="11.25" customHeight="1">
      <c r="A49" s="1853" t="s">
        <v>2247</v>
      </c>
      <c s="1853" t="s">
        <v>16</v>
      </c>
      <c s="1853" t="s">
        <v>2431</v>
      </c>
      <c s="1853" t="s">
        <v>2428</v>
      </c>
      <c s="1853" t="s">
        <v>2429</v>
      </c>
      <c s="1853" t="s">
        <v>2432</v>
      </c>
      <c s="1853" t="s">
        <v>2433</v>
      </c>
      <c s="1853" t="s">
        <v>22</v>
      </c>
      <c s="1853" t="s">
        <v>808</v>
      </c>
    </row>
    <row r="50" spans="1:9" ht="11.25" customHeight="1">
      <c r="A50" s="1853" t="s">
        <v>2247</v>
      </c>
      <c s="1853" t="s">
        <v>16</v>
      </c>
      <c s="1853" t="s">
        <v>2434</v>
      </c>
      <c s="1853" t="s">
        <v>2435</v>
      </c>
      <c s="1853" t="s">
        <v>2436</v>
      </c>
      <c s="1853" t="s">
        <v>2437</v>
      </c>
      <c s="1853" t="s">
        <v>2438</v>
      </c>
      <c s="1853" t="s">
        <v>22</v>
      </c>
      <c s="1853" t="s">
        <v>808</v>
      </c>
    </row>
    <row r="51" spans="1:9" ht="11.25" customHeight="1">
      <c r="A51" s="1853" t="s">
        <v>2247</v>
      </c>
      <c s="1853" t="s">
        <v>16</v>
      </c>
      <c s="1853" t="s">
        <v>2439</v>
      </c>
      <c s="1853" t="s">
        <v>2440</v>
      </c>
      <c s="1853" t="s">
        <v>2441</v>
      </c>
      <c s="1853" t="s">
        <v>2442</v>
      </c>
      <c s="1853" t="s">
        <v>2443</v>
      </c>
      <c s="1853" t="s">
        <v>22</v>
      </c>
      <c s="1853" t="s">
        <v>808</v>
      </c>
    </row>
    <row r="52" spans="1:9" ht="11.25" customHeight="1">
      <c r="A52" s="1853" t="s">
        <v>2247</v>
      </c>
      <c s="1853" t="s">
        <v>16</v>
      </c>
      <c s="1853" t="s">
        <v>2444</v>
      </c>
      <c s="1853" t="s">
        <v>2445</v>
      </c>
      <c s="1853" t="s">
        <v>2446</v>
      </c>
      <c s="1853" t="s">
        <v>2447</v>
      </c>
      <c s="1853" t="s">
        <v>22</v>
      </c>
      <c s="1853" t="s">
        <v>22</v>
      </c>
      <c s="1853" t="s">
        <v>808</v>
      </c>
    </row>
    <row r="53" spans="1:9" ht="11.25" customHeight="1">
      <c r="A53" s="1853" t="s">
        <v>2247</v>
      </c>
      <c s="1853" t="s">
        <v>16</v>
      </c>
      <c s="1853" t="s">
        <v>2448</v>
      </c>
      <c s="1853" t="s">
        <v>2449</v>
      </c>
      <c s="1853" t="s">
        <v>2446</v>
      </c>
      <c s="1853" t="s">
        <v>2450</v>
      </c>
      <c s="1853" t="s">
        <v>22</v>
      </c>
      <c s="1853" t="s">
        <v>22</v>
      </c>
      <c s="1853" t="s">
        <v>808</v>
      </c>
    </row>
    <row r="54" spans="1:9" ht="11.25" customHeight="1">
      <c r="A54" s="1853" t="s">
        <v>2247</v>
      </c>
      <c s="1853" t="s">
        <v>16</v>
      </c>
      <c s="1853" t="s">
        <v>2451</v>
      </c>
      <c s="1853" t="s">
        <v>2452</v>
      </c>
      <c s="1853" t="s">
        <v>2453</v>
      </c>
      <c s="1853" t="s">
        <v>2454</v>
      </c>
      <c s="1853" t="s">
        <v>2455</v>
      </c>
      <c s="1853" t="s">
        <v>22</v>
      </c>
      <c s="1853" t="s">
        <v>808</v>
      </c>
    </row>
    <row r="55" spans="1:9" ht="11.25" customHeight="1">
      <c r="A55" s="1853" t="s">
        <v>2247</v>
      </c>
      <c s="1853" t="s">
        <v>16</v>
      </c>
      <c s="1853" t="s">
        <v>2456</v>
      </c>
      <c s="1853" t="s">
        <v>2457</v>
      </c>
      <c s="1853" t="s">
        <v>2458</v>
      </c>
      <c s="1853" t="s">
        <v>2459</v>
      </c>
      <c s="1853" t="s">
        <v>2460</v>
      </c>
      <c s="1853" t="s">
        <v>22</v>
      </c>
      <c s="1853" t="s">
        <v>808</v>
      </c>
    </row>
    <row r="56" spans="1:9" ht="11.25" customHeight="1">
      <c r="A56" s="1853" t="s">
        <v>2247</v>
      </c>
      <c s="1853" t="s">
        <v>16</v>
      </c>
      <c s="1853" t="s">
        <v>2461</v>
      </c>
      <c s="1853" t="s">
        <v>2462</v>
      </c>
      <c s="1853" t="s">
        <v>2463</v>
      </c>
      <c s="1853" t="s">
        <v>2464</v>
      </c>
      <c s="1853" t="s">
        <v>2465</v>
      </c>
      <c s="1853" t="s">
        <v>22</v>
      </c>
      <c s="1853" t="s">
        <v>808</v>
      </c>
    </row>
    <row r="57" spans="1:9" ht="11.25" customHeight="1">
      <c r="A57" s="1853" t="s">
        <v>2247</v>
      </c>
      <c s="1853" t="s">
        <v>16</v>
      </c>
      <c s="1853" t="s">
        <v>2466</v>
      </c>
      <c s="1853" t="s">
        <v>2467</v>
      </c>
      <c s="1853" t="s">
        <v>2468</v>
      </c>
      <c s="1853" t="s">
        <v>2464</v>
      </c>
      <c s="1853" t="s">
        <v>2469</v>
      </c>
      <c s="1853" t="s">
        <v>22</v>
      </c>
      <c s="1853" t="s">
        <v>808</v>
      </c>
    </row>
    <row r="58" spans="1:9" ht="11.25" customHeight="1">
      <c r="A58" s="1853" t="s">
        <v>2247</v>
      </c>
      <c s="1853" t="s">
        <v>16</v>
      </c>
      <c s="1853" t="s">
        <v>2470</v>
      </c>
      <c s="1853" t="s">
        <v>2471</v>
      </c>
      <c s="1853" t="s">
        <v>2472</v>
      </c>
      <c s="1853" t="s">
        <v>2370</v>
      </c>
      <c s="1853" t="s">
        <v>2473</v>
      </c>
      <c s="1853" t="s">
        <v>22</v>
      </c>
      <c s="1853" t="s">
        <v>808</v>
      </c>
    </row>
    <row r="59" spans="1:9" ht="11.25" customHeight="1">
      <c r="A59" s="1853" t="s">
        <v>2247</v>
      </c>
      <c s="1853" t="s">
        <v>16</v>
      </c>
      <c s="1853" t="s">
        <v>2474</v>
      </c>
      <c s="1853" t="s">
        <v>2475</v>
      </c>
      <c s="1853" t="s">
        <v>2436</v>
      </c>
      <c s="1853" t="s">
        <v>2476</v>
      </c>
      <c s="1853" t="s">
        <v>2438</v>
      </c>
      <c s="1853" t="s">
        <v>22</v>
      </c>
      <c s="1853" t="s">
        <v>808</v>
      </c>
    </row>
    <row r="60" spans="1:9" ht="11.25" customHeight="1">
      <c r="A60" s="1853" t="s">
        <v>2247</v>
      </c>
      <c s="1853" t="s">
        <v>16</v>
      </c>
      <c s="1853" t="s">
        <v>2477</v>
      </c>
      <c s="1853" t="s">
        <v>2478</v>
      </c>
      <c s="1853" t="s">
        <v>2479</v>
      </c>
      <c s="1853" t="s">
        <v>2283</v>
      </c>
      <c s="1853" t="s">
        <v>22</v>
      </c>
      <c s="1853" t="s">
        <v>22</v>
      </c>
      <c s="1853" t="s">
        <v>808</v>
      </c>
    </row>
    <row r="61" spans="1:9" ht="11.25" customHeight="1">
      <c r="A61" s="1853" t="s">
        <v>2247</v>
      </c>
      <c s="1853" t="s">
        <v>16</v>
      </c>
      <c s="1853" t="s">
        <v>22</v>
      </c>
      <c s="1853" t="s">
        <v>2480</v>
      </c>
      <c s="1853" t="s">
        <v>2481</v>
      </c>
      <c s="1853" t="s">
        <v>2256</v>
      </c>
      <c s="1853" t="s">
        <v>22</v>
      </c>
      <c s="1853" t="s">
        <v>22</v>
      </c>
      <c s="1853" t="s">
        <v>808</v>
      </c>
    </row>
    <row r="62" spans="1:9" ht="11.25" customHeight="1">
      <c r="A62" s="1853" t="s">
        <v>2247</v>
      </c>
      <c s="1853" t="s">
        <v>16</v>
      </c>
      <c s="1853" t="s">
        <v>2482</v>
      </c>
      <c s="1853" t="s">
        <v>2483</v>
      </c>
      <c s="1853" t="s">
        <v>2484</v>
      </c>
      <c s="1853" t="s">
        <v>51</v>
      </c>
      <c s="1853" t="s">
        <v>2485</v>
      </c>
      <c s="1853" t="s">
        <v>22</v>
      </c>
      <c s="1853" t="s">
        <v>808</v>
      </c>
    </row>
    <row r="63" spans="1:9" ht="11.25" customHeight="1">
      <c r="A63" s="1853" t="s">
        <v>2247</v>
      </c>
      <c s="1853" t="s">
        <v>16</v>
      </c>
      <c s="1853" t="s">
        <v>2486</v>
      </c>
      <c s="1853" t="s">
        <v>2487</v>
      </c>
      <c s="1853" t="s">
        <v>2488</v>
      </c>
      <c s="1853" t="s">
        <v>2489</v>
      </c>
      <c s="1853" t="s">
        <v>22</v>
      </c>
      <c s="1853" t="s">
        <v>22</v>
      </c>
      <c s="1853" t="s">
        <v>808</v>
      </c>
    </row>
    <row r="64" spans="1:9" ht="11.25" customHeight="1">
      <c r="A64" s="1853" t="s">
        <v>2247</v>
      </c>
      <c s="1853" t="s">
        <v>16</v>
      </c>
      <c s="1853" t="s">
        <v>2490</v>
      </c>
      <c s="1853" t="s">
        <v>2491</v>
      </c>
      <c s="1853" t="s">
        <v>2492</v>
      </c>
      <c s="1853" t="s">
        <v>2328</v>
      </c>
      <c s="1853" t="s">
        <v>22</v>
      </c>
      <c s="1853" t="s">
        <v>22</v>
      </c>
      <c s="1853" t="s">
        <v>808</v>
      </c>
    </row>
    <row r="65" spans="1:9" ht="11.25" customHeight="1">
      <c r="A65" s="1853" t="s">
        <v>2247</v>
      </c>
      <c s="1853" t="s">
        <v>16</v>
      </c>
      <c s="1853" t="s">
        <v>2493</v>
      </c>
      <c s="1853" t="s">
        <v>2494</v>
      </c>
      <c s="1853" t="s">
        <v>2495</v>
      </c>
      <c s="1853" t="s">
        <v>2294</v>
      </c>
      <c s="1853" t="s">
        <v>22</v>
      </c>
      <c s="1853" t="s">
        <v>22</v>
      </c>
      <c s="1853" t="s">
        <v>808</v>
      </c>
    </row>
    <row r="66" spans="1:9" ht="11.25" customHeight="1">
      <c r="A66" s="1853" t="s">
        <v>2247</v>
      </c>
      <c s="1853" t="s">
        <v>16</v>
      </c>
      <c s="1853" t="s">
        <v>2496</v>
      </c>
      <c s="1853" t="s">
        <v>2497</v>
      </c>
      <c s="1853" t="s">
        <v>2498</v>
      </c>
      <c s="1853" t="s">
        <v>2499</v>
      </c>
      <c s="1853" t="s">
        <v>22</v>
      </c>
      <c s="1853" t="s">
        <v>22</v>
      </c>
      <c s="1853" t="s">
        <v>808</v>
      </c>
    </row>
    <row r="67" spans="1:9" ht="11.25" customHeight="1">
      <c r="A67" s="1853" t="s">
        <v>2247</v>
      </c>
      <c s="1853" t="s">
        <v>16</v>
      </c>
      <c s="1853" t="s">
        <v>2500</v>
      </c>
      <c s="1853" t="s">
        <v>2501</v>
      </c>
      <c s="1853" t="s">
        <v>2502</v>
      </c>
      <c s="1853" t="s">
        <v>2503</v>
      </c>
      <c s="1853" t="s">
        <v>22</v>
      </c>
      <c s="1853" t="s">
        <v>22</v>
      </c>
      <c s="1853" t="s">
        <v>808</v>
      </c>
    </row>
    <row r="68" spans="1:9" ht="11.25" customHeight="1">
      <c r="A68" s="1853" t="s">
        <v>2247</v>
      </c>
      <c s="1853" t="s">
        <v>16</v>
      </c>
      <c s="1853" t="s">
        <v>2504</v>
      </c>
      <c s="1853" t="s">
        <v>2505</v>
      </c>
      <c s="1853" t="s">
        <v>2506</v>
      </c>
      <c s="1853" t="s">
        <v>2507</v>
      </c>
      <c s="1853" t="s">
        <v>2508</v>
      </c>
      <c s="1853" t="s">
        <v>22</v>
      </c>
      <c s="1853" t="s">
        <v>808</v>
      </c>
    </row>
    <row r="69" spans="1:9" ht="11.25" customHeight="1">
      <c r="A69" s="1853" t="s">
        <v>2247</v>
      </c>
      <c s="1853" t="s">
        <v>16</v>
      </c>
      <c s="1853" t="s">
        <v>2509</v>
      </c>
      <c s="1853" t="s">
        <v>2510</v>
      </c>
      <c s="1853" t="s">
        <v>2511</v>
      </c>
      <c s="1853" t="s">
        <v>2512</v>
      </c>
      <c s="1853" t="s">
        <v>2508</v>
      </c>
      <c s="1853" t="s">
        <v>22</v>
      </c>
      <c s="1853" t="s">
        <v>808</v>
      </c>
    </row>
    <row r="70" spans="1:9" ht="11.25" customHeight="1">
      <c r="A70" s="1853" t="s">
        <v>2247</v>
      </c>
      <c s="1853" t="s">
        <v>16</v>
      </c>
      <c s="1853" t="s">
        <v>2513</v>
      </c>
      <c s="1853" t="s">
        <v>2514</v>
      </c>
      <c s="1853" t="s">
        <v>2515</v>
      </c>
      <c s="1853" t="s">
        <v>575</v>
      </c>
      <c s="1853" t="s">
        <v>2516</v>
      </c>
      <c s="1853" t="s">
        <v>22</v>
      </c>
      <c s="1853" t="s">
        <v>808</v>
      </c>
    </row>
    <row r="71" spans="1:9" ht="11.25" customHeight="1">
      <c r="A71" s="1853" t="s">
        <v>2247</v>
      </c>
      <c s="1853" t="s">
        <v>16</v>
      </c>
      <c s="1853" t="s">
        <v>2517</v>
      </c>
      <c s="1853" t="s">
        <v>2518</v>
      </c>
      <c s="1853" t="s">
        <v>2519</v>
      </c>
      <c s="1853" t="s">
        <v>575</v>
      </c>
      <c s="1853" t="s">
        <v>2520</v>
      </c>
      <c s="1853" t="s">
        <v>22</v>
      </c>
      <c s="1853" t="s">
        <v>808</v>
      </c>
    </row>
    <row r="72" spans="1:9" ht="11.25" customHeight="1">
      <c r="A72" s="1853" t="s">
        <v>2247</v>
      </c>
      <c s="1853" t="s">
        <v>16</v>
      </c>
      <c s="1853" t="s">
        <v>2521</v>
      </c>
      <c s="1853" t="s">
        <v>2522</v>
      </c>
      <c s="1853" t="s">
        <v>2523</v>
      </c>
      <c s="1853" t="s">
        <v>575</v>
      </c>
      <c s="1853" t="s">
        <v>2524</v>
      </c>
      <c s="1853" t="s">
        <v>22</v>
      </c>
      <c s="1853" t="s">
        <v>808</v>
      </c>
    </row>
    <row r="73" spans="1:9" ht="11.25" customHeight="1">
      <c r="A73" s="1853" t="s">
        <v>2247</v>
      </c>
      <c s="1853" t="s">
        <v>16</v>
      </c>
      <c s="1853" t="s">
        <v>2525</v>
      </c>
      <c s="1853" t="s">
        <v>2526</v>
      </c>
      <c s="1853" t="s">
        <v>2527</v>
      </c>
      <c s="1853" t="s">
        <v>575</v>
      </c>
      <c s="1853" t="s">
        <v>2528</v>
      </c>
      <c s="1853" t="s">
        <v>22</v>
      </c>
      <c s="1853" t="s">
        <v>808</v>
      </c>
    </row>
    <row r="74" spans="1:9" ht="11.25" customHeight="1">
      <c r="A74" s="1853" t="s">
        <v>2247</v>
      </c>
      <c s="1853" t="s">
        <v>16</v>
      </c>
      <c s="1853" t="s">
        <v>2529</v>
      </c>
      <c s="1853" t="s">
        <v>2530</v>
      </c>
      <c s="1853" t="s">
        <v>2531</v>
      </c>
      <c s="1853" t="s">
        <v>575</v>
      </c>
      <c s="1853" t="s">
        <v>2532</v>
      </c>
      <c s="1853" t="s">
        <v>22</v>
      </c>
      <c s="1853" t="s">
        <v>808</v>
      </c>
    </row>
    <row r="75" spans="1:9" ht="11.25" customHeight="1">
      <c r="A75" s="1853" t="s">
        <v>2247</v>
      </c>
      <c s="1853" t="s">
        <v>16</v>
      </c>
      <c s="1853" t="s">
        <v>2533</v>
      </c>
      <c s="1853" t="s">
        <v>2534</v>
      </c>
      <c s="1853" t="s">
        <v>2535</v>
      </c>
      <c s="1853" t="s">
        <v>2290</v>
      </c>
      <c s="1853" t="s">
        <v>2536</v>
      </c>
      <c s="1853" t="s">
        <v>22</v>
      </c>
      <c s="1853" t="s">
        <v>808</v>
      </c>
    </row>
    <row r="76" spans="1:9" ht="11.25" customHeight="1">
      <c r="A76" s="1853" t="s">
        <v>2247</v>
      </c>
      <c s="1853" t="s">
        <v>16</v>
      </c>
      <c s="1853" t="s">
        <v>2537</v>
      </c>
      <c s="1853" t="s">
        <v>2538</v>
      </c>
      <c s="1853" t="s">
        <v>2539</v>
      </c>
      <c s="1853" t="s">
        <v>2540</v>
      </c>
      <c s="1853" t="s">
        <v>22</v>
      </c>
      <c s="1853" t="s">
        <v>22</v>
      </c>
      <c s="1853" t="s">
        <v>808</v>
      </c>
    </row>
    <row r="77" spans="1:9" ht="11.25" customHeight="1">
      <c r="A77" s="1853" t="s">
        <v>2247</v>
      </c>
      <c s="1853" t="s">
        <v>16</v>
      </c>
      <c s="1853" t="s">
        <v>2541</v>
      </c>
      <c s="1853" t="s">
        <v>2542</v>
      </c>
      <c s="1853" t="s">
        <v>2436</v>
      </c>
      <c s="1853" t="s">
        <v>2543</v>
      </c>
      <c s="1853" t="s">
        <v>2438</v>
      </c>
      <c s="1853" t="s">
        <v>22</v>
      </c>
      <c s="1853" t="s">
        <v>808</v>
      </c>
    </row>
    <row r="78" spans="1:9" ht="11.25" customHeight="1">
      <c r="A78" s="1853" t="s">
        <v>2247</v>
      </c>
      <c s="1853" t="s">
        <v>16</v>
      </c>
      <c s="1853" t="s">
        <v>2544</v>
      </c>
      <c s="1853" t="s">
        <v>2545</v>
      </c>
      <c s="1853" t="s">
        <v>2546</v>
      </c>
      <c s="1853" t="s">
        <v>2395</v>
      </c>
      <c s="1853" t="s">
        <v>2547</v>
      </c>
      <c s="1853" t="s">
        <v>22</v>
      </c>
      <c s="1853" t="s">
        <v>808</v>
      </c>
    </row>
    <row r="79" spans="1:9" ht="11.25" customHeight="1">
      <c r="A79" s="1853" t="s">
        <v>2247</v>
      </c>
      <c s="1853" t="s">
        <v>16</v>
      </c>
      <c s="1853" t="s">
        <v>2548</v>
      </c>
      <c s="1853" t="s">
        <v>2549</v>
      </c>
      <c s="1853" t="s">
        <v>2550</v>
      </c>
      <c s="1853" t="s">
        <v>2551</v>
      </c>
      <c s="1853" t="s">
        <v>22</v>
      </c>
      <c s="1853" t="s">
        <v>22</v>
      </c>
      <c s="1853" t="s">
        <v>808</v>
      </c>
    </row>
    <row r="80" spans="1:9" ht="11.25" customHeight="1">
      <c r="A80" s="1853" t="s">
        <v>2247</v>
      </c>
      <c s="1853" t="s">
        <v>16</v>
      </c>
      <c s="1853" t="s">
        <v>2552</v>
      </c>
      <c s="1853" t="s">
        <v>2553</v>
      </c>
      <c s="1853" t="s">
        <v>2554</v>
      </c>
      <c s="1853" t="s">
        <v>2555</v>
      </c>
      <c s="1853" t="s">
        <v>2556</v>
      </c>
      <c s="1853" t="s">
        <v>22</v>
      </c>
      <c s="1853" t="s">
        <v>808</v>
      </c>
    </row>
    <row r="81" spans="1:9" ht="11.25" customHeight="1">
      <c r="A81" s="1853" t="s">
        <v>2247</v>
      </c>
      <c s="1853" t="s">
        <v>16</v>
      </c>
      <c s="1853" t="s">
        <v>2557</v>
      </c>
      <c s="1853" t="s">
        <v>2558</v>
      </c>
      <c s="1853" t="s">
        <v>2559</v>
      </c>
      <c s="1853" t="s">
        <v>2386</v>
      </c>
      <c s="1853" t="s">
        <v>2560</v>
      </c>
      <c s="1853" t="s">
        <v>22</v>
      </c>
      <c s="1853" t="s">
        <v>808</v>
      </c>
    </row>
    <row r="82" spans="1:9" ht="11.25" customHeight="1">
      <c r="A82" s="1853" t="s">
        <v>2247</v>
      </c>
      <c s="1853" t="s">
        <v>16</v>
      </c>
      <c s="1853" t="s">
        <v>2561</v>
      </c>
      <c s="1853" t="s">
        <v>2562</v>
      </c>
      <c s="1853" t="s">
        <v>2563</v>
      </c>
      <c s="1853" t="s">
        <v>2551</v>
      </c>
      <c s="1853" t="s">
        <v>2564</v>
      </c>
      <c s="1853" t="s">
        <v>22</v>
      </c>
      <c s="1853" t="s">
        <v>808</v>
      </c>
    </row>
    <row r="83" spans="1:9" ht="11.25" customHeight="1">
      <c r="A83" s="1853" t="s">
        <v>2247</v>
      </c>
      <c s="1853" t="s">
        <v>16</v>
      </c>
      <c s="1853" t="s">
        <v>2565</v>
      </c>
      <c s="1853" t="s">
        <v>2566</v>
      </c>
      <c s="1853" t="s">
        <v>2567</v>
      </c>
      <c s="1853" t="s">
        <v>2568</v>
      </c>
      <c s="1853" t="s">
        <v>22</v>
      </c>
      <c s="1853" t="s">
        <v>22</v>
      </c>
      <c s="1853" t="s">
        <v>808</v>
      </c>
    </row>
    <row r="84" spans="1:9" ht="11.25" customHeight="1">
      <c r="A84" s="1853" t="s">
        <v>2247</v>
      </c>
      <c s="1853" t="s">
        <v>16</v>
      </c>
      <c s="1853" t="s">
        <v>2569</v>
      </c>
      <c s="1853" t="s">
        <v>2570</v>
      </c>
      <c s="1853" t="s">
        <v>2571</v>
      </c>
      <c s="1853" t="s">
        <v>2283</v>
      </c>
      <c s="1853" t="s">
        <v>22</v>
      </c>
      <c s="1853" t="s">
        <v>22</v>
      </c>
      <c s="1853" t="s">
        <v>808</v>
      </c>
    </row>
    <row r="85" spans="1:9" ht="11.25" customHeight="1">
      <c r="A85" s="1853" t="s">
        <v>2247</v>
      </c>
      <c s="1853" t="s">
        <v>16</v>
      </c>
      <c s="1853" t="s">
        <v>2572</v>
      </c>
      <c s="1853" t="s">
        <v>2573</v>
      </c>
      <c s="1853" t="s">
        <v>2574</v>
      </c>
      <c s="1853" t="s">
        <v>2575</v>
      </c>
      <c s="1853" t="s">
        <v>22</v>
      </c>
      <c s="1853" t="s">
        <v>22</v>
      </c>
      <c s="1853" t="s">
        <v>808</v>
      </c>
    </row>
    <row r="86" spans="1:9" ht="11.25" customHeight="1">
      <c r="A86" s="1853" t="s">
        <v>2247</v>
      </c>
      <c s="1853" t="s">
        <v>16</v>
      </c>
      <c s="1853" t="s">
        <v>2576</v>
      </c>
      <c s="1853" t="s">
        <v>2577</v>
      </c>
      <c s="1853" t="s">
        <v>2578</v>
      </c>
      <c s="1853" t="s">
        <v>2579</v>
      </c>
      <c s="1853" t="s">
        <v>2580</v>
      </c>
      <c s="1853" t="s">
        <v>22</v>
      </c>
      <c s="1853" t="s">
        <v>808</v>
      </c>
    </row>
    <row r="87" spans="1:9" ht="11.25" customHeight="1">
      <c r="A87" s="1853" t="s">
        <v>2247</v>
      </c>
      <c s="1853" t="s">
        <v>16</v>
      </c>
      <c s="1853" t="s">
        <v>2581</v>
      </c>
      <c s="1853" t="s">
        <v>2582</v>
      </c>
      <c s="1853" t="s">
        <v>2583</v>
      </c>
      <c s="1853" t="s">
        <v>2584</v>
      </c>
      <c s="1853" t="s">
        <v>22</v>
      </c>
      <c s="1853" t="s">
        <v>22</v>
      </c>
      <c s="1853" t="s">
        <v>808</v>
      </c>
    </row>
    <row r="88" spans="1:9" ht="11.25" customHeight="1">
      <c r="A88" s="1853" t="s">
        <v>2247</v>
      </c>
      <c s="1853" t="s">
        <v>16</v>
      </c>
      <c s="1853" t="s">
        <v>2585</v>
      </c>
      <c s="1853" t="s">
        <v>2586</v>
      </c>
      <c s="1853" t="s">
        <v>2587</v>
      </c>
      <c s="1853" t="s">
        <v>2588</v>
      </c>
      <c s="1853" t="s">
        <v>2589</v>
      </c>
      <c s="1853" t="s">
        <v>22</v>
      </c>
      <c s="1853" t="s">
        <v>808</v>
      </c>
    </row>
    <row r="89" spans="1:9" ht="11.25" customHeight="1">
      <c r="A89" s="1853" t="s">
        <v>2247</v>
      </c>
      <c s="1853" t="s">
        <v>16</v>
      </c>
      <c s="1853" t="s">
        <v>2590</v>
      </c>
      <c s="1853" t="s">
        <v>2591</v>
      </c>
      <c s="1853" t="s">
        <v>2592</v>
      </c>
      <c s="1853" t="s">
        <v>2503</v>
      </c>
      <c s="1853" t="s">
        <v>22</v>
      </c>
      <c s="1853" t="s">
        <v>22</v>
      </c>
      <c s="1853" t="s">
        <v>808</v>
      </c>
    </row>
    <row r="90" spans="1:9" ht="11.25" customHeight="1">
      <c r="A90" s="1853" t="s">
        <v>2247</v>
      </c>
      <c s="1853" t="s">
        <v>16</v>
      </c>
      <c s="1853" t="s">
        <v>2593</v>
      </c>
      <c s="1853" t="s">
        <v>2594</v>
      </c>
      <c s="1853" t="s">
        <v>2595</v>
      </c>
      <c s="1853" t="s">
        <v>2596</v>
      </c>
      <c s="1853" t="s">
        <v>22</v>
      </c>
      <c s="1853" t="s">
        <v>22</v>
      </c>
      <c s="1853" t="s">
        <v>808</v>
      </c>
    </row>
    <row r="91" spans="1:9" ht="11.25" customHeight="1">
      <c r="A91" s="1853" t="s">
        <v>2247</v>
      </c>
      <c s="1853" t="s">
        <v>16</v>
      </c>
      <c s="1853" t="s">
        <v>2597</v>
      </c>
      <c s="1853" t="s">
        <v>2598</v>
      </c>
      <c s="1853" t="s">
        <v>2599</v>
      </c>
      <c s="1853" t="s">
        <v>2260</v>
      </c>
      <c s="1853" t="s">
        <v>2600</v>
      </c>
      <c s="1853" t="s">
        <v>22</v>
      </c>
      <c s="1853" t="s">
        <v>808</v>
      </c>
    </row>
    <row r="92" spans="1:9" ht="11.25" customHeight="1">
      <c r="A92" s="1853" t="s">
        <v>2247</v>
      </c>
      <c s="1853" t="s">
        <v>16</v>
      </c>
      <c s="1853" t="s">
        <v>2601</v>
      </c>
      <c s="1853" t="s">
        <v>2602</v>
      </c>
      <c s="1853" t="s">
        <v>2603</v>
      </c>
      <c s="1853" t="s">
        <v>2604</v>
      </c>
      <c s="1853" t="s">
        <v>2605</v>
      </c>
      <c s="1853" t="s">
        <v>22</v>
      </c>
      <c s="1853" t="s">
        <v>808</v>
      </c>
    </row>
    <row r="93" spans="1:9" ht="11.25" customHeight="1">
      <c r="A93" s="1853" t="s">
        <v>2247</v>
      </c>
      <c s="1853" t="s">
        <v>16</v>
      </c>
      <c s="1853" t="s">
        <v>2606</v>
      </c>
      <c s="1853" t="s">
        <v>2607</v>
      </c>
      <c s="1853" t="s">
        <v>2608</v>
      </c>
      <c s="1853" t="s">
        <v>2507</v>
      </c>
      <c s="1853" t="s">
        <v>2508</v>
      </c>
      <c s="1853" t="s">
        <v>22</v>
      </c>
      <c s="1853" t="s">
        <v>808</v>
      </c>
    </row>
    <row r="94" spans="1:9" ht="11.25" customHeight="1">
      <c r="A94" s="1853" t="s">
        <v>2247</v>
      </c>
      <c s="1853" t="s">
        <v>16</v>
      </c>
      <c s="1853" t="s">
        <v>2609</v>
      </c>
      <c s="1853" t="s">
        <v>2610</v>
      </c>
      <c s="1853" t="s">
        <v>2611</v>
      </c>
      <c s="1853" t="s">
        <v>2395</v>
      </c>
      <c s="1853" t="s">
        <v>2612</v>
      </c>
      <c s="1853" t="s">
        <v>22</v>
      </c>
      <c s="1853" t="s">
        <v>808</v>
      </c>
    </row>
    <row r="95" spans="1:9" ht="11.25" customHeight="1">
      <c r="A95" s="1853" t="s">
        <v>2247</v>
      </c>
      <c s="1853" t="s">
        <v>16</v>
      </c>
      <c s="1853" t="s">
        <v>2613</v>
      </c>
      <c s="1853" t="s">
        <v>2614</v>
      </c>
      <c s="1853" t="s">
        <v>2615</v>
      </c>
      <c s="1853" t="s">
        <v>2551</v>
      </c>
      <c s="1853" t="s">
        <v>2616</v>
      </c>
      <c s="1853" t="s">
        <v>22</v>
      </c>
      <c s="1853" t="s">
        <v>808</v>
      </c>
    </row>
    <row r="96" spans="1:9" ht="11.25" customHeight="1">
      <c r="A96" s="1853" t="s">
        <v>2247</v>
      </c>
      <c s="1853" t="s">
        <v>16</v>
      </c>
      <c s="1853" t="s">
        <v>2617</v>
      </c>
      <c s="1853" t="s">
        <v>2618</v>
      </c>
      <c s="1853" t="s">
        <v>2619</v>
      </c>
      <c s="1853" t="s">
        <v>2620</v>
      </c>
      <c s="1853" t="s">
        <v>2621</v>
      </c>
      <c s="1853" t="s">
        <v>22</v>
      </c>
      <c s="1853" t="s">
        <v>808</v>
      </c>
    </row>
    <row r="97" spans="1:9" ht="11.25" customHeight="1">
      <c r="A97" s="1853" t="s">
        <v>2247</v>
      </c>
      <c s="1853" t="s">
        <v>16</v>
      </c>
      <c s="1853" t="s">
        <v>2622</v>
      </c>
      <c s="1853" t="s">
        <v>2623</v>
      </c>
      <c s="1853" t="s">
        <v>2624</v>
      </c>
      <c s="1853" t="s">
        <v>2604</v>
      </c>
      <c s="1853" t="s">
        <v>2625</v>
      </c>
      <c s="1853" t="s">
        <v>22</v>
      </c>
      <c s="1853" t="s">
        <v>808</v>
      </c>
    </row>
    <row r="98" spans="1:9" ht="11.25" customHeight="1">
      <c r="A98" s="1853" t="s">
        <v>2247</v>
      </c>
      <c s="1853" t="s">
        <v>16</v>
      </c>
      <c s="1853" t="s">
        <v>2626</v>
      </c>
      <c s="1853" t="s">
        <v>2627</v>
      </c>
      <c s="1853" t="s">
        <v>2628</v>
      </c>
      <c s="1853" t="s">
        <v>2579</v>
      </c>
      <c s="1853" t="s">
        <v>22</v>
      </c>
      <c s="1853" t="s">
        <v>22</v>
      </c>
      <c s="1853" t="s">
        <v>808</v>
      </c>
    </row>
    <row r="99" spans="1:9" ht="11.25" customHeight="1">
      <c r="A99" s="1853" t="s">
        <v>2247</v>
      </c>
      <c s="1853" t="s">
        <v>16</v>
      </c>
      <c s="1853" t="s">
        <v>2629</v>
      </c>
      <c s="1853" t="s">
        <v>2630</v>
      </c>
      <c s="1853" t="s">
        <v>2631</v>
      </c>
      <c s="1853" t="s">
        <v>2632</v>
      </c>
      <c s="1853" t="s">
        <v>22</v>
      </c>
      <c s="1853" t="s">
        <v>22</v>
      </c>
      <c s="1853" t="s">
        <v>808</v>
      </c>
    </row>
    <row r="100" spans="1:9" ht="11.25" customHeight="1">
      <c r="A100" s="1853" t="s">
        <v>2247</v>
      </c>
      <c s="1853" t="s">
        <v>16</v>
      </c>
      <c s="1853" t="s">
        <v>2633</v>
      </c>
      <c s="1853" t="s">
        <v>2634</v>
      </c>
      <c s="1853" t="s">
        <v>2635</v>
      </c>
      <c s="1853" t="s">
        <v>2588</v>
      </c>
      <c s="1853" t="s">
        <v>22</v>
      </c>
      <c s="1853" t="s">
        <v>22</v>
      </c>
      <c s="1853" t="s">
        <v>808</v>
      </c>
    </row>
    <row r="101" spans="1:9" ht="11.25" customHeight="1">
      <c r="A101" s="1853" t="s">
        <v>2247</v>
      </c>
      <c s="1853" t="s">
        <v>16</v>
      </c>
      <c s="1853" t="s">
        <v>2636</v>
      </c>
      <c s="1853" t="s">
        <v>2637</v>
      </c>
      <c s="1853" t="s">
        <v>2638</v>
      </c>
      <c s="1853" t="s">
        <v>2639</v>
      </c>
      <c s="1853" t="s">
        <v>2640</v>
      </c>
      <c s="1853" t="s">
        <v>22</v>
      </c>
      <c s="1853" t="s">
        <v>808</v>
      </c>
    </row>
    <row r="102" spans="1:9" ht="11.25" customHeight="1">
      <c r="A102" s="1853" t="s">
        <v>2247</v>
      </c>
      <c s="1853" t="s">
        <v>16</v>
      </c>
      <c s="1853" t="s">
        <v>2641</v>
      </c>
      <c s="1853" t="s">
        <v>2642</v>
      </c>
      <c s="1853" t="s">
        <v>2643</v>
      </c>
      <c s="1853" t="s">
        <v>2403</v>
      </c>
      <c s="1853" t="s">
        <v>2644</v>
      </c>
      <c s="1853" t="s">
        <v>22</v>
      </c>
      <c s="1853" t="s">
        <v>808</v>
      </c>
    </row>
    <row r="103" spans="1:9" ht="11.25" customHeight="1">
      <c r="A103" s="1853" t="s">
        <v>2247</v>
      </c>
      <c s="1853" t="s">
        <v>16</v>
      </c>
      <c s="1853" t="s">
        <v>2645</v>
      </c>
      <c s="1853" t="s">
        <v>2646</v>
      </c>
      <c s="1853" t="s">
        <v>2647</v>
      </c>
      <c s="1853" t="s">
        <v>2568</v>
      </c>
      <c s="1853" t="s">
        <v>22</v>
      </c>
      <c s="1853" t="s">
        <v>22</v>
      </c>
      <c s="1853" t="s">
        <v>808</v>
      </c>
    </row>
    <row r="104" spans="1:9" ht="11.25" customHeight="1">
      <c r="A104" s="1853" t="s">
        <v>2247</v>
      </c>
      <c s="1853" t="s">
        <v>16</v>
      </c>
      <c s="1853" t="s">
        <v>2648</v>
      </c>
      <c s="1853" t="s">
        <v>2649</v>
      </c>
      <c s="1853" t="s">
        <v>2650</v>
      </c>
      <c s="1853" t="s">
        <v>2370</v>
      </c>
      <c s="1853" t="s">
        <v>22</v>
      </c>
      <c s="1853" t="s">
        <v>22</v>
      </c>
      <c s="1853" t="s">
        <v>808</v>
      </c>
    </row>
    <row r="105" spans="1:9" ht="11.25" customHeight="1">
      <c r="A105" s="1853" t="s">
        <v>2247</v>
      </c>
      <c s="1853" t="s">
        <v>16</v>
      </c>
      <c s="1853" t="s">
        <v>2651</v>
      </c>
      <c s="1853" t="s">
        <v>2652</v>
      </c>
      <c s="1853" t="s">
        <v>2653</v>
      </c>
      <c s="1853" t="s">
        <v>2654</v>
      </c>
      <c s="1853" t="s">
        <v>2655</v>
      </c>
      <c s="1853" t="s">
        <v>22</v>
      </c>
      <c s="1853" t="s">
        <v>808</v>
      </c>
    </row>
    <row r="106" spans="1:9" ht="11.25" customHeight="1">
      <c r="A106" s="1853" t="s">
        <v>2247</v>
      </c>
      <c s="1853" t="s">
        <v>16</v>
      </c>
      <c s="1853" t="s">
        <v>2656</v>
      </c>
      <c s="1853" t="s">
        <v>2657</v>
      </c>
      <c s="1853" t="s">
        <v>2658</v>
      </c>
      <c s="1853" t="s">
        <v>2659</v>
      </c>
      <c s="1853" t="s">
        <v>2660</v>
      </c>
      <c s="1853" t="s">
        <v>22</v>
      </c>
      <c s="1853" t="s">
        <v>808</v>
      </c>
    </row>
    <row r="107" spans="1:9" ht="11.25" customHeight="1">
      <c r="A107" s="1853" t="s">
        <v>2247</v>
      </c>
      <c s="1853" t="s">
        <v>16</v>
      </c>
      <c s="1853" t="s">
        <v>2661</v>
      </c>
      <c s="1853" t="s">
        <v>2662</v>
      </c>
      <c s="1853" t="s">
        <v>2663</v>
      </c>
      <c s="1853" t="s">
        <v>2499</v>
      </c>
      <c s="1853" t="s">
        <v>22</v>
      </c>
      <c s="1853" t="s">
        <v>22</v>
      </c>
      <c s="1853" t="s">
        <v>808</v>
      </c>
    </row>
    <row r="108" spans="1:9" ht="11.25" customHeight="1">
      <c r="A108" s="1853" t="s">
        <v>2247</v>
      </c>
      <c s="1853" t="s">
        <v>16</v>
      </c>
      <c s="1853" t="s">
        <v>2664</v>
      </c>
      <c s="1853" t="s">
        <v>2665</v>
      </c>
      <c s="1853" t="s">
        <v>2666</v>
      </c>
      <c s="1853" t="s">
        <v>2551</v>
      </c>
      <c s="1853" t="s">
        <v>2667</v>
      </c>
      <c s="1853" t="s">
        <v>22</v>
      </c>
      <c s="1853" t="s">
        <v>808</v>
      </c>
    </row>
    <row r="109" spans="1:9" ht="11.25" customHeight="1">
      <c r="A109" s="1853" t="s">
        <v>2247</v>
      </c>
      <c s="1853" t="s">
        <v>16</v>
      </c>
      <c s="1853" t="s">
        <v>2668</v>
      </c>
      <c s="1853" t="s">
        <v>2669</v>
      </c>
      <c s="1853" t="s">
        <v>2670</v>
      </c>
      <c s="1853" t="s">
        <v>2489</v>
      </c>
      <c s="1853" t="s">
        <v>2671</v>
      </c>
      <c s="1853" t="s">
        <v>22</v>
      </c>
      <c s="1853" t="s">
        <v>808</v>
      </c>
    </row>
    <row r="110" spans="1:9" ht="11.25" customHeight="1">
      <c r="A110" s="1853" t="s">
        <v>2247</v>
      </c>
      <c s="1853" t="s">
        <v>16</v>
      </c>
      <c s="1853" t="s">
        <v>2672</v>
      </c>
      <c s="1853" t="s">
        <v>2673</v>
      </c>
      <c s="1853" t="s">
        <v>2674</v>
      </c>
      <c s="1853" t="s">
        <v>2675</v>
      </c>
      <c s="1853" t="s">
        <v>2676</v>
      </c>
      <c s="1853" t="s">
        <v>22</v>
      </c>
      <c s="1853" t="s">
        <v>808</v>
      </c>
    </row>
    <row r="111" spans="1:9" ht="11.25" customHeight="1">
      <c r="A111" s="1853" t="s">
        <v>2247</v>
      </c>
      <c s="1853" t="s">
        <v>16</v>
      </c>
      <c s="1853" t="s">
        <v>2677</v>
      </c>
      <c s="1853" t="s">
        <v>2678</v>
      </c>
      <c s="1853" t="s">
        <v>2679</v>
      </c>
      <c s="1853" t="s">
        <v>2680</v>
      </c>
      <c s="1853" t="s">
        <v>22</v>
      </c>
      <c s="1853" t="s">
        <v>22</v>
      </c>
      <c s="1853" t="s">
        <v>808</v>
      </c>
    </row>
    <row r="112" spans="1:9" ht="11.25" customHeight="1">
      <c r="A112" s="1853" t="s">
        <v>2247</v>
      </c>
      <c s="1853" t="s">
        <v>16</v>
      </c>
      <c s="1853" t="s">
        <v>2681</v>
      </c>
      <c s="1853" t="s">
        <v>2682</v>
      </c>
      <c s="1853" t="s">
        <v>2683</v>
      </c>
      <c s="1853" t="s">
        <v>2684</v>
      </c>
      <c s="1853" t="s">
        <v>2685</v>
      </c>
      <c s="1853" t="s">
        <v>22</v>
      </c>
      <c s="1853" t="s">
        <v>808</v>
      </c>
    </row>
    <row r="113" spans="1:9" ht="11.25" customHeight="1">
      <c r="A113" s="1853" t="s">
        <v>2247</v>
      </c>
      <c s="1853" t="s">
        <v>16</v>
      </c>
      <c s="1853" t="s">
        <v>2686</v>
      </c>
      <c s="1853" t="s">
        <v>2687</v>
      </c>
      <c s="1853" t="s">
        <v>2688</v>
      </c>
      <c s="1853" t="s">
        <v>2689</v>
      </c>
      <c s="1853" t="s">
        <v>22</v>
      </c>
      <c s="1853" t="s">
        <v>22</v>
      </c>
      <c s="1853" t="s">
        <v>808</v>
      </c>
    </row>
    <row r="114" spans="1:9" ht="11.25" customHeight="1">
      <c r="A114" s="1853" t="s">
        <v>2247</v>
      </c>
      <c s="1853" t="s">
        <v>16</v>
      </c>
      <c s="1853" t="s">
        <v>2690</v>
      </c>
      <c s="1853" t="s">
        <v>2691</v>
      </c>
      <c s="1853" t="s">
        <v>2692</v>
      </c>
      <c s="1853" t="s">
        <v>2693</v>
      </c>
      <c s="1853" t="s">
        <v>22</v>
      </c>
      <c s="1853" t="s">
        <v>22</v>
      </c>
      <c s="1853" t="s">
        <v>808</v>
      </c>
    </row>
    <row r="115" spans="1:9" ht="11.25" customHeight="1">
      <c r="A115" s="1853" t="s">
        <v>2247</v>
      </c>
      <c s="1853" t="s">
        <v>16</v>
      </c>
      <c s="1853" t="s">
        <v>2694</v>
      </c>
      <c s="1853" t="s">
        <v>2695</v>
      </c>
      <c s="1853" t="s">
        <v>2696</v>
      </c>
      <c s="1853" t="s">
        <v>2464</v>
      </c>
      <c s="1853" t="s">
        <v>2697</v>
      </c>
      <c s="1853" t="s">
        <v>22</v>
      </c>
      <c s="1853" t="s">
        <v>808</v>
      </c>
    </row>
    <row r="116" spans="1:9" ht="11.25" customHeight="1">
      <c r="A116" s="1853" t="s">
        <v>2247</v>
      </c>
      <c s="1853" t="s">
        <v>16</v>
      </c>
      <c s="1853" t="s">
        <v>2698</v>
      </c>
      <c s="1853" t="s">
        <v>2699</v>
      </c>
      <c s="1853" t="s">
        <v>2700</v>
      </c>
      <c s="1853" t="s">
        <v>2684</v>
      </c>
      <c s="1853" t="s">
        <v>2701</v>
      </c>
      <c s="1853" t="s">
        <v>22</v>
      </c>
      <c s="1853" t="s">
        <v>808</v>
      </c>
    </row>
    <row r="117" spans="1:9" ht="11.25" customHeight="1">
      <c r="A117" s="1853" t="s">
        <v>2247</v>
      </c>
      <c s="1853" t="s">
        <v>16</v>
      </c>
      <c s="1853" t="s">
        <v>2702</v>
      </c>
      <c s="1853" t="s">
        <v>2703</v>
      </c>
      <c s="1853" t="s">
        <v>2704</v>
      </c>
      <c s="1853" t="s">
        <v>2568</v>
      </c>
      <c s="1853" t="s">
        <v>22</v>
      </c>
      <c s="1853" t="s">
        <v>22</v>
      </c>
      <c s="1853" t="s">
        <v>808</v>
      </c>
    </row>
    <row r="118" spans="1:9" ht="11.25" customHeight="1">
      <c r="A118" s="1853" t="s">
        <v>2247</v>
      </c>
      <c s="1853" t="s">
        <v>16</v>
      </c>
      <c s="1853" t="s">
        <v>2705</v>
      </c>
      <c s="1853" t="s">
        <v>2706</v>
      </c>
      <c s="1853" t="s">
        <v>2707</v>
      </c>
      <c s="1853" t="s">
        <v>2708</v>
      </c>
      <c s="1853" t="s">
        <v>22</v>
      </c>
      <c s="1853" t="s">
        <v>22</v>
      </c>
      <c s="1853" t="s">
        <v>808</v>
      </c>
    </row>
    <row r="119" spans="1:9" ht="11.25" customHeight="1">
      <c r="A119" s="1853" t="s">
        <v>2247</v>
      </c>
      <c s="1853" t="s">
        <v>16</v>
      </c>
      <c s="1853" t="s">
        <v>2709</v>
      </c>
      <c s="1853" t="s">
        <v>2710</v>
      </c>
      <c s="1853" t="s">
        <v>2711</v>
      </c>
      <c s="1853" t="s">
        <v>2712</v>
      </c>
      <c s="1853" t="s">
        <v>22</v>
      </c>
      <c s="1853" t="s">
        <v>22</v>
      </c>
      <c s="1853" t="s">
        <v>808</v>
      </c>
    </row>
    <row r="120" spans="1:9" ht="11.25" customHeight="1">
      <c r="A120" s="1853" t="s">
        <v>2247</v>
      </c>
      <c s="1853" t="s">
        <v>16</v>
      </c>
      <c s="1853" t="s">
        <v>2713</v>
      </c>
      <c s="1853" t="s">
        <v>2714</v>
      </c>
      <c s="1853" t="s">
        <v>2715</v>
      </c>
      <c s="1853" t="s">
        <v>2716</v>
      </c>
      <c s="1853" t="s">
        <v>2717</v>
      </c>
      <c s="1853" t="s">
        <v>22</v>
      </c>
      <c s="1853" t="s">
        <v>808</v>
      </c>
    </row>
    <row r="121" spans="1:9" ht="11.25" customHeight="1">
      <c r="A121" s="1853" t="s">
        <v>2247</v>
      </c>
      <c s="1853" t="s">
        <v>16</v>
      </c>
      <c s="1853" t="s">
        <v>2718</v>
      </c>
      <c s="1853" t="s">
        <v>2719</v>
      </c>
      <c s="1853" t="s">
        <v>2720</v>
      </c>
      <c s="1853" t="s">
        <v>2568</v>
      </c>
      <c s="1853" t="s">
        <v>22</v>
      </c>
      <c s="1853" t="s">
        <v>22</v>
      </c>
      <c s="1853" t="s">
        <v>808</v>
      </c>
    </row>
    <row r="122" spans="1:9" ht="11.25" customHeight="1">
      <c r="A122" s="1853" t="s">
        <v>2247</v>
      </c>
      <c s="1853" t="s">
        <v>16</v>
      </c>
      <c s="1853" t="s">
        <v>2721</v>
      </c>
      <c s="1853" t="s">
        <v>2722</v>
      </c>
      <c s="1853" t="s">
        <v>2723</v>
      </c>
      <c s="1853" t="s">
        <v>2265</v>
      </c>
      <c s="1853" t="s">
        <v>22</v>
      </c>
      <c s="1853" t="s">
        <v>22</v>
      </c>
      <c s="1853" t="s">
        <v>808</v>
      </c>
    </row>
    <row r="123" spans="1:9" ht="11.25" customHeight="1">
      <c r="A123" s="1853" t="s">
        <v>2247</v>
      </c>
      <c s="1853" t="s">
        <v>16</v>
      </c>
      <c s="1853" t="s">
        <v>2724</v>
      </c>
      <c s="1853" t="s">
        <v>2725</v>
      </c>
      <c s="1853" t="s">
        <v>2726</v>
      </c>
      <c s="1853" t="s">
        <v>2386</v>
      </c>
      <c s="1853" t="s">
        <v>2727</v>
      </c>
      <c s="1853" t="s">
        <v>22</v>
      </c>
      <c s="1853" t="s">
        <v>808</v>
      </c>
    </row>
    <row r="124" spans="1:9" ht="11.25" customHeight="1">
      <c r="A124" s="1853" t="s">
        <v>2247</v>
      </c>
      <c s="1853" t="s">
        <v>16</v>
      </c>
      <c s="1853" t="s">
        <v>2728</v>
      </c>
      <c s="1853" t="s">
        <v>2729</v>
      </c>
      <c s="1853" t="s">
        <v>2730</v>
      </c>
      <c s="1853" t="s">
        <v>2731</v>
      </c>
      <c s="1853" t="s">
        <v>2732</v>
      </c>
      <c s="1853" t="s">
        <v>22</v>
      </c>
      <c s="1853" t="s">
        <v>808</v>
      </c>
    </row>
    <row r="125" spans="1:9" ht="11.25" customHeight="1">
      <c r="A125" s="1853" t="s">
        <v>2247</v>
      </c>
      <c s="1853" t="s">
        <v>16</v>
      </c>
      <c s="1853" t="s">
        <v>2733</v>
      </c>
      <c s="1853" t="s">
        <v>2734</v>
      </c>
      <c s="1853" t="s">
        <v>2735</v>
      </c>
      <c s="1853" t="s">
        <v>2370</v>
      </c>
      <c s="1853" t="s">
        <v>22</v>
      </c>
      <c s="1853" t="s">
        <v>22</v>
      </c>
      <c s="1853" t="s">
        <v>808</v>
      </c>
    </row>
    <row r="126" spans="1:9" ht="11.25" customHeight="1">
      <c r="A126" s="1853" t="s">
        <v>2247</v>
      </c>
      <c s="1853" t="s">
        <v>16</v>
      </c>
      <c s="1853" t="s">
        <v>2736</v>
      </c>
      <c s="1853" t="s">
        <v>2737</v>
      </c>
      <c s="1853" t="s">
        <v>2738</v>
      </c>
      <c s="1853" t="s">
        <v>2386</v>
      </c>
      <c s="1853" t="s">
        <v>22</v>
      </c>
      <c s="1853" t="s">
        <v>22</v>
      </c>
      <c s="1853" t="s">
        <v>808</v>
      </c>
    </row>
    <row r="127" spans="1:9" ht="11.25" customHeight="1">
      <c r="A127" s="1853" t="s">
        <v>2247</v>
      </c>
      <c s="1853" t="s">
        <v>16</v>
      </c>
      <c s="1853" t="s">
        <v>2739</v>
      </c>
      <c s="1853" t="s">
        <v>2740</v>
      </c>
      <c s="1853" t="s">
        <v>2741</v>
      </c>
      <c s="1853" t="s">
        <v>2742</v>
      </c>
      <c s="1853" t="s">
        <v>22</v>
      </c>
      <c s="1853" t="s">
        <v>22</v>
      </c>
      <c s="1853" t="s">
        <v>808</v>
      </c>
    </row>
    <row r="128" spans="1:9" ht="11.25" customHeight="1">
      <c r="A128" s="1853" t="s">
        <v>2247</v>
      </c>
      <c s="1853" t="s">
        <v>16</v>
      </c>
      <c s="1853" t="s">
        <v>2743</v>
      </c>
      <c s="1853" t="s">
        <v>2744</v>
      </c>
      <c s="1853" t="s">
        <v>2745</v>
      </c>
      <c s="1853" t="s">
        <v>2716</v>
      </c>
      <c s="1853" t="s">
        <v>2746</v>
      </c>
      <c s="1853" t="s">
        <v>22</v>
      </c>
      <c s="1853" t="s">
        <v>808</v>
      </c>
    </row>
    <row r="129" spans="1:9" ht="11.25" customHeight="1">
      <c r="A129" s="1853" t="s">
        <v>2247</v>
      </c>
      <c s="1853" t="s">
        <v>16</v>
      </c>
      <c s="1853" t="s">
        <v>2747</v>
      </c>
      <c s="1853" t="s">
        <v>2748</v>
      </c>
      <c s="1853" t="s">
        <v>2749</v>
      </c>
      <c s="1853" t="s">
        <v>2659</v>
      </c>
      <c s="1853" t="s">
        <v>2750</v>
      </c>
      <c s="1853" t="s">
        <v>22</v>
      </c>
      <c s="1853" t="s">
        <v>808</v>
      </c>
    </row>
    <row r="130" spans="1:9" ht="11.25" customHeight="1">
      <c r="A130" s="1853" t="s">
        <v>2247</v>
      </c>
      <c s="1853" t="s">
        <v>16</v>
      </c>
      <c s="1853" t="s">
        <v>2751</v>
      </c>
      <c s="1853" t="s">
        <v>2752</v>
      </c>
      <c s="1853" t="s">
        <v>2753</v>
      </c>
      <c s="1853" t="s">
        <v>2395</v>
      </c>
      <c s="1853" t="s">
        <v>22</v>
      </c>
      <c s="1853" t="s">
        <v>22</v>
      </c>
      <c s="1853" t="s">
        <v>808</v>
      </c>
    </row>
    <row r="131" spans="1:9" ht="11.25" customHeight="1">
      <c r="A131" s="1853" t="s">
        <v>2247</v>
      </c>
      <c s="1853" t="s">
        <v>16</v>
      </c>
      <c s="1853" t="s">
        <v>2754</v>
      </c>
      <c s="1853" t="s">
        <v>2755</v>
      </c>
      <c s="1853" t="s">
        <v>2756</v>
      </c>
      <c s="1853" t="s">
        <v>2584</v>
      </c>
      <c s="1853" t="s">
        <v>22</v>
      </c>
      <c s="1853" t="s">
        <v>22</v>
      </c>
      <c s="1853" t="s">
        <v>808</v>
      </c>
    </row>
    <row r="132" spans="1:9" ht="11.25" customHeight="1">
      <c r="A132" s="1853" t="s">
        <v>2247</v>
      </c>
      <c s="1853" t="s">
        <v>16</v>
      </c>
      <c s="1853" t="s">
        <v>2757</v>
      </c>
      <c s="1853" t="s">
        <v>2758</v>
      </c>
      <c s="1853" t="s">
        <v>2759</v>
      </c>
      <c s="1853" t="s">
        <v>51</v>
      </c>
      <c s="1853" t="s">
        <v>2760</v>
      </c>
      <c s="1853" t="s">
        <v>22</v>
      </c>
      <c s="1853" t="s">
        <v>808</v>
      </c>
    </row>
    <row r="133" spans="1:9" ht="11.25" customHeight="1">
      <c r="A133" s="1853" t="s">
        <v>2247</v>
      </c>
      <c s="1853" t="s">
        <v>16</v>
      </c>
      <c s="1853" t="s">
        <v>2761</v>
      </c>
      <c s="1853" t="s">
        <v>2762</v>
      </c>
      <c s="1853" t="s">
        <v>2763</v>
      </c>
      <c s="1853" t="s">
        <v>2632</v>
      </c>
      <c s="1853" t="s">
        <v>2764</v>
      </c>
      <c s="1853" t="s">
        <v>22</v>
      </c>
      <c s="1853" t="s">
        <v>808</v>
      </c>
    </row>
    <row r="134" spans="1:9" ht="11.25" customHeight="1">
      <c r="A134" s="1853" t="s">
        <v>2247</v>
      </c>
      <c s="1853" t="s">
        <v>16</v>
      </c>
      <c s="1853" t="s">
        <v>2765</v>
      </c>
      <c s="1853" t="s">
        <v>2766</v>
      </c>
      <c s="1853" t="s">
        <v>2767</v>
      </c>
      <c s="1853" t="s">
        <v>2370</v>
      </c>
      <c s="1853" t="s">
        <v>2768</v>
      </c>
      <c s="1853" t="s">
        <v>22</v>
      </c>
      <c s="1853" t="s">
        <v>808</v>
      </c>
    </row>
    <row r="135" spans="1:9" ht="11.25" customHeight="1">
      <c r="A135" s="1853" t="s">
        <v>2247</v>
      </c>
      <c s="1853" t="s">
        <v>16</v>
      </c>
      <c s="1853" t="s">
        <v>2769</v>
      </c>
      <c s="1853" t="s">
        <v>2770</v>
      </c>
      <c s="1853" t="s">
        <v>2771</v>
      </c>
      <c s="1853" t="s">
        <v>2772</v>
      </c>
      <c s="1853" t="s">
        <v>2773</v>
      </c>
      <c s="1853" t="s">
        <v>22</v>
      </c>
      <c s="1853" t="s">
        <v>808</v>
      </c>
    </row>
    <row r="136" spans="1:9" ht="11.25" customHeight="1">
      <c r="A136" s="1853" t="s">
        <v>2247</v>
      </c>
      <c s="1853" t="s">
        <v>16</v>
      </c>
      <c s="1853" t="s">
        <v>2774</v>
      </c>
      <c s="1853" t="s">
        <v>2775</v>
      </c>
      <c s="1853" t="s">
        <v>2776</v>
      </c>
      <c s="1853" t="s">
        <v>2260</v>
      </c>
      <c s="1853" t="s">
        <v>22</v>
      </c>
      <c s="1853" t="s">
        <v>22</v>
      </c>
      <c s="1853" t="s">
        <v>808</v>
      </c>
    </row>
    <row r="137" spans="1:9" ht="11.25" customHeight="1">
      <c r="A137" s="1853" t="s">
        <v>2247</v>
      </c>
      <c s="1853" t="s">
        <v>16</v>
      </c>
      <c s="1853" t="s">
        <v>2777</v>
      </c>
      <c s="1853" t="s">
        <v>2778</v>
      </c>
      <c s="1853" t="s">
        <v>2429</v>
      </c>
      <c s="1853" t="s">
        <v>2779</v>
      </c>
      <c s="1853" t="s">
        <v>2433</v>
      </c>
      <c s="1853" t="s">
        <v>22</v>
      </c>
      <c s="1853" t="s">
        <v>808</v>
      </c>
    </row>
    <row r="138" spans="1:9" ht="11.25" customHeight="1">
      <c r="A138" s="1853" t="s">
        <v>2247</v>
      </c>
      <c s="1853" t="s">
        <v>16</v>
      </c>
      <c s="1853" t="s">
        <v>2780</v>
      </c>
      <c s="1853" t="s">
        <v>2781</v>
      </c>
      <c s="1853" t="s">
        <v>2782</v>
      </c>
      <c s="1853" t="s">
        <v>2783</v>
      </c>
      <c s="1853" t="s">
        <v>22</v>
      </c>
      <c s="1853" t="s">
        <v>22</v>
      </c>
      <c s="1853" t="s">
        <v>808</v>
      </c>
    </row>
    <row r="139" spans="1:9" ht="11.25" customHeight="1">
      <c r="A139" s="1853" t="s">
        <v>2247</v>
      </c>
      <c s="1853" t="s">
        <v>16</v>
      </c>
      <c s="1853" t="s">
        <v>2784</v>
      </c>
      <c s="1853" t="s">
        <v>2785</v>
      </c>
      <c s="1853" t="s">
        <v>2429</v>
      </c>
      <c s="1853" t="s">
        <v>2786</v>
      </c>
      <c s="1853" t="s">
        <v>2787</v>
      </c>
      <c s="1853" t="s">
        <v>22</v>
      </c>
      <c s="1853" t="s">
        <v>808</v>
      </c>
    </row>
    <row r="140" spans="1:9" ht="11.25" customHeight="1">
      <c r="A140" s="1853" t="s">
        <v>2247</v>
      </c>
      <c s="1853" t="s">
        <v>16</v>
      </c>
      <c s="1853" t="s">
        <v>2788</v>
      </c>
      <c s="1853" t="s">
        <v>2789</v>
      </c>
      <c s="1853" t="s">
        <v>2790</v>
      </c>
      <c s="1853" t="s">
        <v>2362</v>
      </c>
      <c s="1853" t="s">
        <v>2791</v>
      </c>
      <c s="1853" t="s">
        <v>22</v>
      </c>
      <c s="1853" t="s">
        <v>808</v>
      </c>
    </row>
    <row r="141" spans="1:9" ht="11.25" customHeight="1">
      <c r="A141" s="1853" t="s">
        <v>2247</v>
      </c>
      <c s="1853" t="s">
        <v>16</v>
      </c>
      <c s="1853" t="s">
        <v>2792</v>
      </c>
      <c s="1853" t="s">
        <v>2793</v>
      </c>
      <c s="1853" t="s">
        <v>2794</v>
      </c>
      <c s="1853" t="s">
        <v>2391</v>
      </c>
      <c s="1853" t="s">
        <v>22</v>
      </c>
      <c s="1853" t="s">
        <v>22</v>
      </c>
      <c s="1853" t="s">
        <v>808</v>
      </c>
    </row>
    <row r="142" spans="1:9" ht="11.25" customHeight="1">
      <c r="A142" s="1853" t="s">
        <v>2247</v>
      </c>
      <c s="1853" t="s">
        <v>16</v>
      </c>
      <c s="1853" t="s">
        <v>2795</v>
      </c>
      <c s="1853" t="s">
        <v>2796</v>
      </c>
      <c s="1853" t="s">
        <v>2797</v>
      </c>
      <c s="1853" t="s">
        <v>2335</v>
      </c>
      <c s="1853" t="s">
        <v>22</v>
      </c>
      <c s="1853" t="s">
        <v>22</v>
      </c>
      <c s="1853" t="s">
        <v>808</v>
      </c>
    </row>
    <row r="143" spans="1:9" ht="11.25" customHeight="1">
      <c r="A143" s="1853" t="s">
        <v>2247</v>
      </c>
      <c s="1853" t="s">
        <v>16</v>
      </c>
      <c s="1853" t="s">
        <v>2798</v>
      </c>
      <c s="1853" t="s">
        <v>2799</v>
      </c>
      <c s="1853" t="s">
        <v>2800</v>
      </c>
      <c s="1853" t="s">
        <v>2335</v>
      </c>
      <c s="1853" t="s">
        <v>2801</v>
      </c>
      <c s="1853" t="s">
        <v>22</v>
      </c>
      <c s="1853" t="s">
        <v>808</v>
      </c>
    </row>
    <row r="144" spans="1:9" ht="11.25" customHeight="1">
      <c r="A144" s="1853" t="s">
        <v>2247</v>
      </c>
      <c s="1853" t="s">
        <v>16</v>
      </c>
      <c s="1853" t="s">
        <v>2802</v>
      </c>
      <c s="1853" t="s">
        <v>2803</v>
      </c>
      <c s="1853" t="s">
        <v>2804</v>
      </c>
      <c s="1853" t="s">
        <v>2555</v>
      </c>
      <c s="1853" t="s">
        <v>2805</v>
      </c>
      <c s="1853" t="s">
        <v>22</v>
      </c>
      <c s="1853" t="s">
        <v>808</v>
      </c>
    </row>
    <row r="145" spans="1:9" ht="11.25" customHeight="1">
      <c r="A145" s="1853" t="s">
        <v>2247</v>
      </c>
      <c s="1853" t="s">
        <v>16</v>
      </c>
      <c s="1853" t="s">
        <v>2806</v>
      </c>
      <c s="1853" t="s">
        <v>2807</v>
      </c>
      <c s="1853" t="s">
        <v>2808</v>
      </c>
      <c s="1853" t="s">
        <v>51</v>
      </c>
      <c s="1853" t="s">
        <v>22</v>
      </c>
      <c s="1853" t="s">
        <v>22</v>
      </c>
      <c s="1853" t="s">
        <v>808</v>
      </c>
    </row>
    <row r="146" spans="1:9" ht="11.25" customHeight="1">
      <c r="A146" s="1853" t="s">
        <v>2247</v>
      </c>
      <c s="1853" t="s">
        <v>16</v>
      </c>
      <c s="1853" t="s">
        <v>2809</v>
      </c>
      <c s="1853" t="s">
        <v>2810</v>
      </c>
      <c s="1853" t="s">
        <v>2811</v>
      </c>
      <c s="1853" t="s">
        <v>2693</v>
      </c>
      <c s="1853" t="s">
        <v>22</v>
      </c>
      <c s="1853" t="s">
        <v>22</v>
      </c>
      <c s="1853" t="s">
        <v>808</v>
      </c>
    </row>
    <row r="147" spans="1:9" ht="11.25" customHeight="1">
      <c r="A147" s="1853" t="s">
        <v>2247</v>
      </c>
      <c s="1853" t="s">
        <v>16</v>
      </c>
      <c s="1853" t="s">
        <v>2812</v>
      </c>
      <c s="1853" t="s">
        <v>2813</v>
      </c>
      <c s="1853" t="s">
        <v>2814</v>
      </c>
      <c s="1853" t="s">
        <v>2301</v>
      </c>
      <c s="1853" t="s">
        <v>22</v>
      </c>
      <c s="1853" t="s">
        <v>22</v>
      </c>
      <c s="1853" t="s">
        <v>808</v>
      </c>
    </row>
    <row r="148" spans="1:9" ht="11.25" customHeight="1">
      <c r="A148" s="1853" t="s">
        <v>2247</v>
      </c>
      <c s="1853" t="s">
        <v>16</v>
      </c>
      <c s="1853" t="s">
        <v>2815</v>
      </c>
      <c s="1853" t="s">
        <v>2816</v>
      </c>
      <c s="1853" t="s">
        <v>2817</v>
      </c>
      <c s="1853" t="s">
        <v>2499</v>
      </c>
      <c s="1853" t="s">
        <v>22</v>
      </c>
      <c s="1853" t="s">
        <v>22</v>
      </c>
      <c s="1853" t="s">
        <v>808</v>
      </c>
    </row>
    <row r="149" spans="1:9" ht="11.25" customHeight="1">
      <c r="A149" s="1853" t="s">
        <v>2247</v>
      </c>
      <c s="1853" t="s">
        <v>16</v>
      </c>
      <c s="1853" t="s">
        <v>2818</v>
      </c>
      <c s="1853" t="s">
        <v>2819</v>
      </c>
      <c s="1853" t="s">
        <v>2820</v>
      </c>
      <c s="1853" t="s">
        <v>2335</v>
      </c>
      <c s="1853" t="s">
        <v>22</v>
      </c>
      <c s="1853" t="s">
        <v>22</v>
      </c>
      <c s="1853" t="s">
        <v>808</v>
      </c>
    </row>
    <row r="150" spans="1:9" ht="11.25" customHeight="1">
      <c r="A150" s="1853" t="s">
        <v>2247</v>
      </c>
      <c s="1853" t="s">
        <v>16</v>
      </c>
      <c s="1853" t="s">
        <v>2821</v>
      </c>
      <c s="1853" t="s">
        <v>2822</v>
      </c>
      <c s="1853" t="s">
        <v>2823</v>
      </c>
      <c s="1853" t="s">
        <v>2290</v>
      </c>
      <c s="1853" t="s">
        <v>2824</v>
      </c>
      <c s="1853" t="s">
        <v>22</v>
      </c>
      <c s="1853" t="s">
        <v>808</v>
      </c>
    </row>
    <row r="151" spans="1:9" ht="11.25" customHeight="1">
      <c r="A151" s="1853" t="s">
        <v>2247</v>
      </c>
      <c s="1853" t="s">
        <v>16</v>
      </c>
      <c s="1853" t="s">
        <v>2825</v>
      </c>
      <c s="1853" t="s">
        <v>2826</v>
      </c>
      <c s="1853" t="s">
        <v>2827</v>
      </c>
      <c s="1853" t="s">
        <v>2588</v>
      </c>
      <c s="1853" t="s">
        <v>22</v>
      </c>
      <c s="1853" t="s">
        <v>22</v>
      </c>
      <c s="1853" t="s">
        <v>808</v>
      </c>
    </row>
    <row r="152" spans="1:9" ht="11.25" customHeight="1">
      <c r="A152" s="1853" t="s">
        <v>2247</v>
      </c>
      <c s="1853" t="s">
        <v>16</v>
      </c>
      <c s="1853" t="s">
        <v>2828</v>
      </c>
      <c s="1853" t="s">
        <v>2829</v>
      </c>
      <c s="1853" t="s">
        <v>2830</v>
      </c>
      <c s="1853" t="s">
        <v>2294</v>
      </c>
      <c s="1853" t="s">
        <v>22</v>
      </c>
      <c s="1853" t="s">
        <v>22</v>
      </c>
      <c s="1853" t="s">
        <v>808</v>
      </c>
    </row>
    <row r="153" spans="1:9" ht="11.25" customHeight="1">
      <c r="A153" s="1853" t="s">
        <v>2247</v>
      </c>
      <c s="1853" t="s">
        <v>16</v>
      </c>
      <c s="1853" t="s">
        <v>2831</v>
      </c>
      <c s="1853" t="s">
        <v>2832</v>
      </c>
      <c s="1853" t="s">
        <v>2833</v>
      </c>
      <c s="1853" t="s">
        <v>2632</v>
      </c>
      <c s="1853" t="s">
        <v>2834</v>
      </c>
      <c s="1853" t="s">
        <v>22</v>
      </c>
      <c s="1853" t="s">
        <v>808</v>
      </c>
    </row>
    <row r="154" spans="1:9" ht="11.25" customHeight="1">
      <c r="A154" s="1853" t="s">
        <v>2247</v>
      </c>
      <c s="1853" t="s">
        <v>16</v>
      </c>
      <c s="1853" t="s">
        <v>2835</v>
      </c>
      <c s="1853" t="s">
        <v>2836</v>
      </c>
      <c s="1853" t="s">
        <v>2837</v>
      </c>
      <c s="1853" t="s">
        <v>2838</v>
      </c>
      <c s="1853" t="s">
        <v>22</v>
      </c>
      <c s="1853" t="s">
        <v>22</v>
      </c>
      <c s="1853" t="s">
        <v>808</v>
      </c>
    </row>
    <row r="155" spans="1:9" ht="11.25" customHeight="1">
      <c r="A155" s="1853" t="s">
        <v>2247</v>
      </c>
      <c s="1853" t="s">
        <v>16</v>
      </c>
      <c s="1853" t="s">
        <v>2839</v>
      </c>
      <c s="1853" t="s">
        <v>2840</v>
      </c>
      <c s="1853" t="s">
        <v>2841</v>
      </c>
      <c s="1853" t="s">
        <v>2842</v>
      </c>
      <c s="1853" t="s">
        <v>2843</v>
      </c>
      <c s="1853" t="s">
        <v>22</v>
      </c>
      <c s="1853" t="s">
        <v>808</v>
      </c>
    </row>
    <row r="156" spans="1:9" ht="11.25" customHeight="1">
      <c r="A156" s="1853" t="s">
        <v>2247</v>
      </c>
      <c s="1853" t="s">
        <v>16</v>
      </c>
      <c s="1853" t="s">
        <v>2844</v>
      </c>
      <c s="1853" t="s">
        <v>2845</v>
      </c>
      <c s="1853" t="s">
        <v>2846</v>
      </c>
      <c s="1853" t="s">
        <v>2370</v>
      </c>
      <c s="1853" t="s">
        <v>22</v>
      </c>
      <c s="1853" t="s">
        <v>22</v>
      </c>
      <c s="1853" t="s">
        <v>808</v>
      </c>
    </row>
    <row r="157" spans="1:9" ht="11.25" customHeight="1">
      <c r="A157" s="1853" t="s">
        <v>2247</v>
      </c>
      <c s="1853" t="s">
        <v>16</v>
      </c>
      <c s="1853" t="s">
        <v>2847</v>
      </c>
      <c s="1853" t="s">
        <v>2848</v>
      </c>
      <c s="1853" t="s">
        <v>2849</v>
      </c>
      <c s="1853" t="s">
        <v>2301</v>
      </c>
      <c s="1853" t="s">
        <v>2850</v>
      </c>
      <c s="1853" t="s">
        <v>22</v>
      </c>
      <c s="1853" t="s">
        <v>808</v>
      </c>
    </row>
    <row r="158" spans="1:9" ht="11.25" customHeight="1">
      <c r="A158" s="1853" t="s">
        <v>2247</v>
      </c>
      <c s="1853" t="s">
        <v>16</v>
      </c>
      <c s="1853" t="s">
        <v>2851</v>
      </c>
      <c s="1853" t="s">
        <v>2852</v>
      </c>
      <c s="1853" t="s">
        <v>2853</v>
      </c>
      <c s="1853" t="s">
        <v>2568</v>
      </c>
      <c s="1853" t="s">
        <v>2854</v>
      </c>
      <c s="1853" t="s">
        <v>22</v>
      </c>
      <c s="1853" t="s">
        <v>808</v>
      </c>
    </row>
    <row r="159" spans="1:9" ht="11.25" customHeight="1">
      <c r="A159" s="1853" t="s">
        <v>2247</v>
      </c>
      <c s="1853" t="s">
        <v>16</v>
      </c>
      <c s="1853" t="s">
        <v>2855</v>
      </c>
      <c s="1853" t="s">
        <v>2856</v>
      </c>
      <c s="1853" t="s">
        <v>2857</v>
      </c>
      <c s="1853" t="s">
        <v>2391</v>
      </c>
      <c s="1853" t="s">
        <v>2858</v>
      </c>
      <c s="1853" t="s">
        <v>22</v>
      </c>
      <c s="1853" t="s">
        <v>808</v>
      </c>
    </row>
    <row r="160" spans="1:9" ht="11.25" customHeight="1">
      <c r="A160" s="1853" t="s">
        <v>2247</v>
      </c>
      <c s="1853" t="s">
        <v>16</v>
      </c>
      <c s="1853" t="s">
        <v>2859</v>
      </c>
      <c s="1853" t="s">
        <v>2860</v>
      </c>
      <c s="1853" t="s">
        <v>2861</v>
      </c>
      <c s="1853" t="s">
        <v>2335</v>
      </c>
      <c s="1853" t="s">
        <v>22</v>
      </c>
      <c s="1853" t="s">
        <v>22</v>
      </c>
      <c s="1853" t="s">
        <v>808</v>
      </c>
    </row>
    <row r="161" spans="1:9" ht="11.25" customHeight="1">
      <c r="A161" s="1853" t="s">
        <v>2247</v>
      </c>
      <c s="1853" t="s">
        <v>16</v>
      </c>
      <c s="1853" t="s">
        <v>2862</v>
      </c>
      <c s="1853" t="s">
        <v>2863</v>
      </c>
      <c s="1853" t="s">
        <v>2864</v>
      </c>
      <c s="1853" t="s">
        <v>2639</v>
      </c>
      <c s="1853" t="s">
        <v>2865</v>
      </c>
      <c s="1853" t="s">
        <v>22</v>
      </c>
      <c s="1853" t="s">
        <v>808</v>
      </c>
    </row>
    <row r="162" spans="1:9" ht="11.25" customHeight="1">
      <c r="A162" s="1853" t="s">
        <v>2247</v>
      </c>
      <c s="1853" t="s">
        <v>16</v>
      </c>
      <c s="1853" t="s">
        <v>2866</v>
      </c>
      <c s="1853" t="s">
        <v>2867</v>
      </c>
      <c s="1853" t="s">
        <v>2868</v>
      </c>
      <c s="1853" t="s">
        <v>2251</v>
      </c>
      <c s="1853" t="s">
        <v>2869</v>
      </c>
      <c s="1853" t="s">
        <v>22</v>
      </c>
      <c s="1853" t="s">
        <v>808</v>
      </c>
    </row>
    <row r="163" spans="1:9" ht="11.25" customHeight="1">
      <c r="A163" s="1853" t="s">
        <v>2247</v>
      </c>
      <c s="1853" t="s">
        <v>16</v>
      </c>
      <c s="1853" t="s">
        <v>2870</v>
      </c>
      <c s="1853" t="s">
        <v>2871</v>
      </c>
      <c s="1853" t="s">
        <v>2872</v>
      </c>
      <c s="1853" t="s">
        <v>2454</v>
      </c>
      <c s="1853" t="s">
        <v>22</v>
      </c>
      <c s="1853" t="s">
        <v>22</v>
      </c>
      <c s="1853" t="s">
        <v>808</v>
      </c>
    </row>
    <row r="164" spans="1:9" ht="11.25" customHeight="1">
      <c r="A164" s="1853" t="s">
        <v>2247</v>
      </c>
      <c s="1853" t="s">
        <v>16</v>
      </c>
      <c s="1853" t="s">
        <v>2873</v>
      </c>
      <c s="1853" t="s">
        <v>2874</v>
      </c>
      <c s="1853" t="s">
        <v>2875</v>
      </c>
      <c s="1853" t="s">
        <v>2256</v>
      </c>
      <c s="1853" t="s">
        <v>22</v>
      </c>
      <c s="1853" t="s">
        <v>2876</v>
      </c>
      <c s="1853" t="s">
        <v>808</v>
      </c>
    </row>
    <row r="165" spans="1:9" ht="11.25" customHeight="1">
      <c r="A165" s="1853" t="s">
        <v>2247</v>
      </c>
      <c s="1853" t="s">
        <v>16</v>
      </c>
      <c s="1853" t="s">
        <v>2877</v>
      </c>
      <c s="1853" t="s">
        <v>2878</v>
      </c>
      <c s="1853" t="s">
        <v>2879</v>
      </c>
      <c s="1853" t="s">
        <v>2290</v>
      </c>
      <c s="1853" t="s">
        <v>2854</v>
      </c>
      <c s="1853" t="s">
        <v>22</v>
      </c>
      <c s="1853" t="s">
        <v>808</v>
      </c>
    </row>
    <row r="166" spans="1:9" ht="11.25" customHeight="1">
      <c r="A166" s="1853" t="s">
        <v>2247</v>
      </c>
      <c s="1853" t="s">
        <v>16</v>
      </c>
      <c s="1853" t="s">
        <v>2880</v>
      </c>
      <c s="1853" t="s">
        <v>2881</v>
      </c>
      <c s="1853" t="s">
        <v>2882</v>
      </c>
      <c s="1853" t="s">
        <v>2712</v>
      </c>
      <c s="1853" t="s">
        <v>22</v>
      </c>
      <c s="1853" t="s">
        <v>22</v>
      </c>
      <c s="1853" t="s">
        <v>808</v>
      </c>
    </row>
    <row r="167" spans="1:9" ht="11.25" customHeight="1">
      <c r="A167" s="1853" t="s">
        <v>2247</v>
      </c>
      <c s="1853" t="s">
        <v>16</v>
      </c>
      <c s="1853" t="s">
        <v>2883</v>
      </c>
      <c s="1853" t="s">
        <v>2884</v>
      </c>
      <c s="1853" t="s">
        <v>2885</v>
      </c>
      <c s="1853" t="s">
        <v>2395</v>
      </c>
      <c s="1853" t="s">
        <v>2886</v>
      </c>
      <c s="1853" t="s">
        <v>22</v>
      </c>
      <c s="1853" t="s">
        <v>808</v>
      </c>
    </row>
    <row r="168" spans="1:9" ht="11.25" customHeight="1">
      <c r="A168" s="1853" t="s">
        <v>2247</v>
      </c>
      <c s="1853" t="s">
        <v>16</v>
      </c>
      <c s="1853" t="s">
        <v>2887</v>
      </c>
      <c s="1853" t="s">
        <v>2888</v>
      </c>
      <c s="1853" t="s">
        <v>2889</v>
      </c>
      <c s="1853" t="s">
        <v>2290</v>
      </c>
      <c s="1853" t="s">
        <v>2890</v>
      </c>
      <c s="1853" t="s">
        <v>22</v>
      </c>
      <c s="1853" t="s">
        <v>808</v>
      </c>
    </row>
    <row r="169" spans="1:9" ht="11.25" customHeight="1">
      <c r="A169" s="1853" t="s">
        <v>2247</v>
      </c>
      <c s="1853" t="s">
        <v>16</v>
      </c>
      <c s="1853" t="s">
        <v>2891</v>
      </c>
      <c s="1853" t="s">
        <v>2892</v>
      </c>
      <c s="1853" t="s">
        <v>2539</v>
      </c>
      <c s="1853" t="s">
        <v>2893</v>
      </c>
      <c s="1853" t="s">
        <v>22</v>
      </c>
      <c s="1853" t="s">
        <v>22</v>
      </c>
      <c s="1853" t="s">
        <v>808</v>
      </c>
    </row>
    <row r="170" spans="1:9" ht="11.25" customHeight="1">
      <c r="A170" s="1853" t="s">
        <v>2247</v>
      </c>
      <c s="1853" t="s">
        <v>16</v>
      </c>
      <c s="1853" t="s">
        <v>2894</v>
      </c>
      <c s="1853" t="s">
        <v>2895</v>
      </c>
      <c s="1853" t="s">
        <v>2896</v>
      </c>
      <c s="1853" t="s">
        <v>2395</v>
      </c>
      <c s="1853" t="s">
        <v>2897</v>
      </c>
      <c s="1853" t="s">
        <v>22</v>
      </c>
      <c s="1853" t="s">
        <v>808</v>
      </c>
    </row>
    <row r="171" spans="1:9" ht="11.25" customHeight="1">
      <c r="A171" s="1853" t="s">
        <v>2247</v>
      </c>
      <c s="1853" t="s">
        <v>16</v>
      </c>
      <c s="1853" t="s">
        <v>2898</v>
      </c>
      <c s="1853" t="s">
        <v>2899</v>
      </c>
      <c s="1853" t="s">
        <v>2900</v>
      </c>
      <c s="1853" t="s">
        <v>2370</v>
      </c>
      <c s="1853" t="s">
        <v>2901</v>
      </c>
      <c s="1853" t="s">
        <v>22</v>
      </c>
      <c s="1853" t="s">
        <v>808</v>
      </c>
    </row>
    <row r="172" spans="1:9" ht="11.25" customHeight="1">
      <c r="A172" s="1853" t="s">
        <v>2247</v>
      </c>
      <c s="1853" t="s">
        <v>16</v>
      </c>
      <c s="1853" t="s">
        <v>2902</v>
      </c>
      <c s="1853" t="s">
        <v>2903</v>
      </c>
      <c s="1853" t="s">
        <v>2904</v>
      </c>
      <c s="1853" t="s">
        <v>2301</v>
      </c>
      <c s="1853" t="s">
        <v>22</v>
      </c>
      <c s="1853" t="s">
        <v>22</v>
      </c>
      <c s="1853" t="s">
        <v>808</v>
      </c>
    </row>
    <row r="173" spans="1:9" ht="11.25" customHeight="1">
      <c r="A173" s="1853" t="s">
        <v>2247</v>
      </c>
      <c s="1853" t="s">
        <v>16</v>
      </c>
      <c s="1853" t="s">
        <v>2905</v>
      </c>
      <c s="1853" t="s">
        <v>2906</v>
      </c>
      <c s="1853" t="s">
        <v>2907</v>
      </c>
      <c s="1853" t="s">
        <v>2328</v>
      </c>
      <c s="1853" t="s">
        <v>2908</v>
      </c>
      <c s="1853" t="s">
        <v>22</v>
      </c>
      <c s="1853" t="s">
        <v>808</v>
      </c>
    </row>
    <row r="174" spans="1:9" ht="11.25" customHeight="1">
      <c r="A174" s="1853" t="s">
        <v>2247</v>
      </c>
      <c s="1853" t="s">
        <v>16</v>
      </c>
      <c s="1853" t="s">
        <v>2909</v>
      </c>
      <c s="1853" t="s">
        <v>2910</v>
      </c>
      <c s="1853" t="s">
        <v>2911</v>
      </c>
      <c s="1853" t="s">
        <v>2251</v>
      </c>
      <c s="1853" t="s">
        <v>2912</v>
      </c>
      <c s="1853" t="s">
        <v>22</v>
      </c>
      <c s="1853" t="s">
        <v>808</v>
      </c>
    </row>
    <row r="175" spans="1:9" ht="11.25" customHeight="1">
      <c r="A175" s="1853" t="s">
        <v>2247</v>
      </c>
      <c s="1853" t="s">
        <v>16</v>
      </c>
      <c s="1853" t="s">
        <v>2913</v>
      </c>
      <c s="1853" t="s">
        <v>2914</v>
      </c>
      <c s="1853" t="s">
        <v>2915</v>
      </c>
      <c s="1853" t="s">
        <v>2328</v>
      </c>
      <c s="1853" t="s">
        <v>2916</v>
      </c>
      <c s="1853" t="s">
        <v>22</v>
      </c>
      <c s="1853" t="s">
        <v>808</v>
      </c>
    </row>
    <row r="176" spans="1:9" ht="11.25" customHeight="1">
      <c r="A176" s="1853" t="s">
        <v>2247</v>
      </c>
      <c s="1853" t="s">
        <v>16</v>
      </c>
      <c s="1853" t="s">
        <v>2917</v>
      </c>
      <c s="1853" t="s">
        <v>2918</v>
      </c>
      <c s="1853" t="s">
        <v>2919</v>
      </c>
      <c s="1853" t="s">
        <v>2680</v>
      </c>
      <c s="1853" t="s">
        <v>22</v>
      </c>
      <c s="1853" t="s">
        <v>22</v>
      </c>
      <c s="1853" t="s">
        <v>808</v>
      </c>
    </row>
    <row r="177" spans="1:9" ht="11.25" customHeight="1">
      <c r="A177" s="1853" t="s">
        <v>2247</v>
      </c>
      <c s="1853" t="s">
        <v>16</v>
      </c>
      <c s="1853" t="s">
        <v>2920</v>
      </c>
      <c s="1853" t="s">
        <v>2921</v>
      </c>
      <c s="1853" t="s">
        <v>2922</v>
      </c>
      <c s="1853" t="s">
        <v>2251</v>
      </c>
      <c s="1853" t="s">
        <v>2923</v>
      </c>
      <c s="1853" t="s">
        <v>22</v>
      </c>
      <c s="1853" t="s">
        <v>808</v>
      </c>
    </row>
    <row r="178" spans="1:9" ht="11.25" customHeight="1">
      <c r="A178" s="1853" t="s">
        <v>2247</v>
      </c>
      <c s="1853" t="s">
        <v>16</v>
      </c>
      <c s="1853" t="s">
        <v>2924</v>
      </c>
      <c s="1853" t="s">
        <v>2925</v>
      </c>
      <c s="1853" t="s">
        <v>2926</v>
      </c>
      <c s="1853" t="s">
        <v>2301</v>
      </c>
      <c s="1853" t="s">
        <v>22</v>
      </c>
      <c s="1853" t="s">
        <v>22</v>
      </c>
      <c s="1853" t="s">
        <v>808</v>
      </c>
    </row>
    <row r="179" spans="1:9" ht="11.25" customHeight="1">
      <c r="A179" s="1853" t="s">
        <v>2247</v>
      </c>
      <c s="1853" t="s">
        <v>16</v>
      </c>
      <c s="1853" t="s">
        <v>2927</v>
      </c>
      <c s="1853" t="s">
        <v>2928</v>
      </c>
      <c s="1853" t="s">
        <v>2929</v>
      </c>
      <c s="1853" t="s">
        <v>2301</v>
      </c>
      <c s="1853" t="s">
        <v>2930</v>
      </c>
      <c s="1853" t="s">
        <v>22</v>
      </c>
      <c s="1853" t="s">
        <v>808</v>
      </c>
    </row>
    <row r="180" spans="1:9" ht="11.25" customHeight="1">
      <c r="A180" s="1853" t="s">
        <v>2247</v>
      </c>
      <c s="1853" t="s">
        <v>16</v>
      </c>
      <c s="1853" t="s">
        <v>2931</v>
      </c>
      <c s="1853" t="s">
        <v>2932</v>
      </c>
      <c s="1853" t="s">
        <v>2933</v>
      </c>
      <c s="1853" t="s">
        <v>51</v>
      </c>
      <c s="1853" t="s">
        <v>2934</v>
      </c>
      <c s="1853" t="s">
        <v>22</v>
      </c>
      <c s="1853" t="s">
        <v>808</v>
      </c>
    </row>
    <row r="181" spans="1:9" ht="11.25" customHeight="1">
      <c r="A181" s="1853" t="s">
        <v>2247</v>
      </c>
      <c s="1853" t="s">
        <v>16</v>
      </c>
      <c s="1853" t="s">
        <v>2935</v>
      </c>
      <c s="1853" t="s">
        <v>2936</v>
      </c>
      <c s="1853" t="s">
        <v>2937</v>
      </c>
      <c s="1853" t="s">
        <v>2256</v>
      </c>
      <c s="1853" t="s">
        <v>2938</v>
      </c>
      <c s="1853" t="s">
        <v>22</v>
      </c>
      <c s="1853" t="s">
        <v>808</v>
      </c>
    </row>
    <row r="182" spans="1:9" ht="11.25" customHeight="1">
      <c r="A182" s="1853" t="s">
        <v>2247</v>
      </c>
      <c s="1853" t="s">
        <v>16</v>
      </c>
      <c s="1853" t="s">
        <v>2939</v>
      </c>
      <c s="1853" t="s">
        <v>2940</v>
      </c>
      <c s="1853" t="s">
        <v>2941</v>
      </c>
      <c s="1853" t="s">
        <v>51</v>
      </c>
      <c s="1853" t="s">
        <v>2655</v>
      </c>
      <c s="1853" t="s">
        <v>22</v>
      </c>
      <c s="1853" t="s">
        <v>808</v>
      </c>
    </row>
    <row r="183" spans="1:9" ht="11.25" customHeight="1">
      <c r="A183" s="1853" t="s">
        <v>2247</v>
      </c>
      <c s="1853" t="s">
        <v>16</v>
      </c>
      <c s="1853" t="s">
        <v>2942</v>
      </c>
      <c s="1853" t="s">
        <v>2943</v>
      </c>
      <c s="1853" t="s">
        <v>2944</v>
      </c>
      <c s="1853" t="s">
        <v>51</v>
      </c>
      <c s="1853" t="s">
        <v>22</v>
      </c>
      <c s="1853" t="s">
        <v>22</v>
      </c>
      <c s="1853" t="s">
        <v>808</v>
      </c>
    </row>
    <row r="184" spans="1:9" ht="11.25" customHeight="1">
      <c r="A184" s="1853" t="s">
        <v>2247</v>
      </c>
      <c s="1853" t="s">
        <v>16</v>
      </c>
      <c s="1853" t="s">
        <v>2945</v>
      </c>
      <c s="1853" t="s">
        <v>2946</v>
      </c>
      <c s="1853" t="s">
        <v>2947</v>
      </c>
      <c s="1853" t="s">
        <v>2256</v>
      </c>
      <c s="1853" t="s">
        <v>22</v>
      </c>
      <c s="1853" t="s">
        <v>22</v>
      </c>
      <c s="1853" t="s">
        <v>808</v>
      </c>
    </row>
    <row r="185" spans="1:9" ht="11.25" customHeight="1">
      <c r="A185" s="1853" t="s">
        <v>2247</v>
      </c>
      <c s="1853" t="s">
        <v>16</v>
      </c>
      <c s="1853" t="s">
        <v>2948</v>
      </c>
      <c s="1853" t="s">
        <v>2949</v>
      </c>
      <c s="1853" t="s">
        <v>2950</v>
      </c>
      <c s="1853" t="s">
        <v>2328</v>
      </c>
      <c s="1853" t="s">
        <v>2951</v>
      </c>
      <c s="1853" t="s">
        <v>22</v>
      </c>
      <c s="1853" t="s">
        <v>808</v>
      </c>
    </row>
    <row r="186" spans="1:9" ht="11.25" customHeight="1">
      <c r="A186" s="1853" t="s">
        <v>2247</v>
      </c>
      <c s="1853" t="s">
        <v>16</v>
      </c>
      <c s="1853" t="s">
        <v>2952</v>
      </c>
      <c s="1853" t="s">
        <v>2953</v>
      </c>
      <c s="1853" t="s">
        <v>2954</v>
      </c>
      <c s="1853" t="s">
        <v>51</v>
      </c>
      <c s="1853" t="s">
        <v>2955</v>
      </c>
      <c s="1853" t="s">
        <v>22</v>
      </c>
      <c s="1853" t="s">
        <v>808</v>
      </c>
    </row>
    <row r="187" spans="1:9" ht="11.25" customHeight="1">
      <c r="A187" s="1853" t="s">
        <v>2247</v>
      </c>
      <c s="1853" t="s">
        <v>16</v>
      </c>
      <c s="1853" t="s">
        <v>2956</v>
      </c>
      <c s="1853" t="s">
        <v>2957</v>
      </c>
      <c s="1853" t="s">
        <v>2958</v>
      </c>
      <c s="1853" t="s">
        <v>51</v>
      </c>
      <c s="1853" t="s">
        <v>2959</v>
      </c>
      <c s="1853" t="s">
        <v>22</v>
      </c>
      <c s="1853" t="s">
        <v>808</v>
      </c>
    </row>
    <row r="188" spans="1:9" ht="11.25" customHeight="1">
      <c r="A188" s="1853" t="s">
        <v>2247</v>
      </c>
      <c s="1853" t="s">
        <v>16</v>
      </c>
      <c s="1853" t="s">
        <v>2960</v>
      </c>
      <c s="1853" t="s">
        <v>2961</v>
      </c>
      <c s="1853" t="s">
        <v>2962</v>
      </c>
      <c s="1853" t="s">
        <v>2620</v>
      </c>
      <c s="1853" t="s">
        <v>22</v>
      </c>
      <c s="1853" t="s">
        <v>22</v>
      </c>
      <c s="1853" t="s">
        <v>808</v>
      </c>
    </row>
    <row r="189" spans="1:9" ht="11.25" customHeight="1">
      <c r="A189" s="1853" t="s">
        <v>2247</v>
      </c>
      <c s="1853" t="s">
        <v>16</v>
      </c>
      <c s="1853" t="s">
        <v>2963</v>
      </c>
      <c s="1853" t="s">
        <v>2964</v>
      </c>
      <c s="1853" t="s">
        <v>2965</v>
      </c>
      <c s="1853" t="s">
        <v>2256</v>
      </c>
      <c s="1853" t="s">
        <v>2966</v>
      </c>
      <c s="1853" t="s">
        <v>22</v>
      </c>
      <c s="1853" t="s">
        <v>808</v>
      </c>
    </row>
    <row r="190" spans="1:9" ht="11.25" customHeight="1">
      <c r="A190" s="1853" t="s">
        <v>2247</v>
      </c>
      <c s="1853" t="s">
        <v>16</v>
      </c>
      <c s="1853" t="s">
        <v>2967</v>
      </c>
      <c s="1853" t="s">
        <v>2968</v>
      </c>
      <c s="1853" t="s">
        <v>2969</v>
      </c>
      <c s="1853" t="s">
        <v>2604</v>
      </c>
      <c s="1853" t="s">
        <v>2970</v>
      </c>
      <c s="1853" t="s">
        <v>22</v>
      </c>
      <c s="1853" t="s">
        <v>808</v>
      </c>
    </row>
    <row r="191" spans="1:9" ht="11.25" customHeight="1">
      <c r="A191" s="1853" t="s">
        <v>2247</v>
      </c>
      <c s="1853" t="s">
        <v>16</v>
      </c>
      <c s="1853" t="s">
        <v>2971</v>
      </c>
      <c s="1853" t="s">
        <v>2972</v>
      </c>
      <c s="1853" t="s">
        <v>2973</v>
      </c>
      <c s="1853" t="s">
        <v>2251</v>
      </c>
      <c s="1853" t="s">
        <v>2974</v>
      </c>
      <c s="1853" t="s">
        <v>22</v>
      </c>
      <c s="1853" t="s">
        <v>808</v>
      </c>
    </row>
    <row r="192" spans="1:9" ht="11.25" customHeight="1">
      <c r="A192" s="1853" t="s">
        <v>2247</v>
      </c>
      <c s="1853" t="s">
        <v>16</v>
      </c>
      <c s="1853" t="s">
        <v>2975</v>
      </c>
      <c s="1853" t="s">
        <v>2976</v>
      </c>
      <c s="1853" t="s">
        <v>2977</v>
      </c>
      <c s="1853" t="s">
        <v>2251</v>
      </c>
      <c s="1853" t="s">
        <v>2978</v>
      </c>
      <c s="1853" t="s">
        <v>22</v>
      </c>
      <c s="1853" t="s">
        <v>808</v>
      </c>
    </row>
    <row r="193" spans="1:9" ht="11.25" customHeight="1">
      <c r="A193" s="1853" t="s">
        <v>2247</v>
      </c>
      <c s="1853" t="s">
        <v>16</v>
      </c>
      <c s="1853" t="s">
        <v>2979</v>
      </c>
      <c s="1853" t="s">
        <v>2980</v>
      </c>
      <c s="1853" t="s">
        <v>2981</v>
      </c>
      <c s="1853" t="s">
        <v>2982</v>
      </c>
      <c s="1853" t="s">
        <v>2983</v>
      </c>
      <c s="1853" t="s">
        <v>22</v>
      </c>
      <c s="1853" t="s">
        <v>808</v>
      </c>
    </row>
    <row r="194" spans="1:9" ht="11.25" customHeight="1">
      <c r="A194" s="1853" t="s">
        <v>2247</v>
      </c>
      <c s="1853" t="s">
        <v>16</v>
      </c>
      <c s="1853" t="s">
        <v>2984</v>
      </c>
      <c s="1853" t="s">
        <v>2985</v>
      </c>
      <c s="1853" t="s">
        <v>2986</v>
      </c>
      <c s="1853" t="s">
        <v>2987</v>
      </c>
      <c s="1853" t="s">
        <v>2988</v>
      </c>
      <c s="1853" t="s">
        <v>22</v>
      </c>
      <c s="1853" t="s">
        <v>808</v>
      </c>
    </row>
    <row r="195" spans="1:9" ht="11.25" customHeight="1">
      <c r="A195" s="1853" t="s">
        <v>2247</v>
      </c>
      <c s="1853" t="s">
        <v>16</v>
      </c>
      <c s="1853" t="s">
        <v>2989</v>
      </c>
      <c s="1853" t="s">
        <v>2990</v>
      </c>
      <c s="1853" t="s">
        <v>2991</v>
      </c>
      <c s="1853" t="s">
        <v>2982</v>
      </c>
      <c s="1853" t="s">
        <v>2992</v>
      </c>
      <c s="1853" t="s">
        <v>22</v>
      </c>
      <c s="1853" t="s">
        <v>808</v>
      </c>
    </row>
    <row r="196" spans="1:9" ht="11.25" customHeight="1">
      <c r="A196" s="1853" t="s">
        <v>2247</v>
      </c>
      <c s="1853" t="s">
        <v>16</v>
      </c>
      <c s="1853" t="s">
        <v>2993</v>
      </c>
      <c s="1853" t="s">
        <v>2994</v>
      </c>
      <c s="1853" t="s">
        <v>2995</v>
      </c>
      <c s="1853" t="s">
        <v>2382</v>
      </c>
      <c s="1853" t="s">
        <v>2996</v>
      </c>
      <c s="1853" t="s">
        <v>22</v>
      </c>
      <c s="1853" t="s">
        <v>808</v>
      </c>
    </row>
    <row r="197" spans="1:9" ht="11.25" customHeight="1">
      <c r="A197" s="1853" t="s">
        <v>2247</v>
      </c>
      <c s="1853" t="s">
        <v>16</v>
      </c>
      <c s="1853" t="s">
        <v>2997</v>
      </c>
      <c s="1853" t="s">
        <v>2998</v>
      </c>
      <c s="1853" t="s">
        <v>2999</v>
      </c>
      <c s="1853" t="s">
        <v>51</v>
      </c>
      <c s="1853" t="s">
        <v>3000</v>
      </c>
      <c s="1853" t="s">
        <v>22</v>
      </c>
      <c s="1853" t="s">
        <v>808</v>
      </c>
    </row>
    <row r="198" spans="1:9" ht="11.25" customHeight="1">
      <c r="A198" s="1853" t="s">
        <v>2247</v>
      </c>
      <c s="1853" t="s">
        <v>16</v>
      </c>
      <c s="1853" t="s">
        <v>3001</v>
      </c>
      <c s="1853" t="s">
        <v>3002</v>
      </c>
      <c s="1853" t="s">
        <v>3003</v>
      </c>
      <c s="1853" t="s">
        <v>2256</v>
      </c>
      <c s="1853" t="s">
        <v>3004</v>
      </c>
      <c s="1853" t="s">
        <v>22</v>
      </c>
      <c s="1853" t="s">
        <v>808</v>
      </c>
    </row>
    <row r="199" spans="1:9" ht="11.25" customHeight="1">
      <c r="A199" s="1853" t="s">
        <v>2247</v>
      </c>
      <c s="1853" t="s">
        <v>16</v>
      </c>
      <c s="1853" t="s">
        <v>3005</v>
      </c>
      <c s="1853" t="s">
        <v>3006</v>
      </c>
      <c s="1853" t="s">
        <v>3007</v>
      </c>
      <c s="1853" t="s">
        <v>51</v>
      </c>
      <c s="1853" t="s">
        <v>2399</v>
      </c>
      <c s="1853" t="s">
        <v>22</v>
      </c>
      <c s="1853" t="s">
        <v>808</v>
      </c>
    </row>
    <row r="200" spans="1:9" ht="11.25" customHeight="1">
      <c r="A200" s="1853" t="s">
        <v>2247</v>
      </c>
      <c s="1853" t="s">
        <v>16</v>
      </c>
      <c s="1853" t="s">
        <v>3008</v>
      </c>
      <c s="1853" t="s">
        <v>3009</v>
      </c>
      <c s="1853" t="s">
        <v>3010</v>
      </c>
      <c s="1853" t="s">
        <v>2604</v>
      </c>
      <c s="1853" t="s">
        <v>3011</v>
      </c>
      <c s="1853" t="s">
        <v>22</v>
      </c>
      <c s="1853" t="s">
        <v>808</v>
      </c>
    </row>
    <row r="201" spans="1:9" ht="11.25" customHeight="1">
      <c r="A201" s="1853" t="s">
        <v>2247</v>
      </c>
      <c s="1853" t="s">
        <v>16</v>
      </c>
      <c s="1853" t="s">
        <v>3012</v>
      </c>
      <c s="1853" t="s">
        <v>3013</v>
      </c>
      <c s="1853" t="s">
        <v>3014</v>
      </c>
      <c s="1853" t="s">
        <v>2499</v>
      </c>
      <c s="1853" t="s">
        <v>22</v>
      </c>
      <c s="1853" t="s">
        <v>22</v>
      </c>
      <c s="1853" t="s">
        <v>808</v>
      </c>
    </row>
    <row r="202" spans="1:9" ht="11.25" customHeight="1">
      <c r="A202" s="1853" t="s">
        <v>2247</v>
      </c>
      <c s="1853" t="s">
        <v>16</v>
      </c>
      <c s="1853" t="s">
        <v>3015</v>
      </c>
      <c s="1853" t="s">
        <v>3016</v>
      </c>
      <c s="1853" t="s">
        <v>3017</v>
      </c>
      <c s="1853" t="s">
        <v>2328</v>
      </c>
      <c s="1853" t="s">
        <v>3018</v>
      </c>
      <c s="1853" t="s">
        <v>22</v>
      </c>
      <c s="1853" t="s">
        <v>808</v>
      </c>
    </row>
    <row r="203" spans="1:9" ht="11.25" customHeight="1">
      <c r="A203" s="1853" t="s">
        <v>2247</v>
      </c>
      <c s="1853" t="s">
        <v>16</v>
      </c>
      <c s="1853" t="s">
        <v>3019</v>
      </c>
      <c s="1853" t="s">
        <v>3020</v>
      </c>
      <c s="1853" t="s">
        <v>3021</v>
      </c>
      <c s="1853" t="s">
        <v>51</v>
      </c>
      <c s="1853" t="s">
        <v>22</v>
      </c>
      <c s="1853" t="s">
        <v>22</v>
      </c>
      <c s="1853" t="s">
        <v>808</v>
      </c>
    </row>
    <row r="204" spans="1:9" ht="11.25" customHeight="1">
      <c r="A204" s="1853" t="s">
        <v>2247</v>
      </c>
      <c s="1853" t="s">
        <v>16</v>
      </c>
      <c s="1853" t="s">
        <v>3022</v>
      </c>
      <c s="1853" t="s">
        <v>3023</v>
      </c>
      <c s="1853" t="s">
        <v>3024</v>
      </c>
      <c s="1853" t="s">
        <v>2555</v>
      </c>
      <c s="1853" t="s">
        <v>22</v>
      </c>
      <c s="1853" t="s">
        <v>22</v>
      </c>
      <c s="1853" t="s">
        <v>808</v>
      </c>
    </row>
    <row r="205" spans="1:9" ht="11.25" customHeight="1">
      <c r="A205" s="1853" t="s">
        <v>2247</v>
      </c>
      <c s="1853" t="s">
        <v>16</v>
      </c>
      <c s="1853" t="s">
        <v>3025</v>
      </c>
      <c s="1853" t="s">
        <v>3026</v>
      </c>
      <c s="1853" t="s">
        <v>3027</v>
      </c>
      <c s="1853" t="s">
        <v>2328</v>
      </c>
      <c s="1853" t="s">
        <v>3028</v>
      </c>
      <c s="1853" t="s">
        <v>22</v>
      </c>
      <c s="1853" t="s">
        <v>808</v>
      </c>
    </row>
    <row r="206" spans="1:9" ht="11.25" customHeight="1">
      <c r="A206" s="1853" t="s">
        <v>2247</v>
      </c>
      <c s="1853" t="s">
        <v>16</v>
      </c>
      <c s="1853" t="s">
        <v>3029</v>
      </c>
      <c s="1853" t="s">
        <v>3030</v>
      </c>
      <c s="1853" t="s">
        <v>3031</v>
      </c>
      <c s="1853" t="s">
        <v>2339</v>
      </c>
      <c s="1853" t="s">
        <v>3032</v>
      </c>
      <c s="1853" t="s">
        <v>22</v>
      </c>
      <c s="1853" t="s">
        <v>808</v>
      </c>
    </row>
    <row r="207" spans="1:9" ht="11.25" customHeight="1">
      <c r="A207" s="1853" t="s">
        <v>2247</v>
      </c>
      <c s="1853" t="s">
        <v>16</v>
      </c>
      <c s="1853" t="s">
        <v>3033</v>
      </c>
      <c s="1853" t="s">
        <v>3034</v>
      </c>
      <c s="1853" t="s">
        <v>3035</v>
      </c>
      <c s="1853" t="s">
        <v>2290</v>
      </c>
      <c s="1853" t="s">
        <v>3036</v>
      </c>
      <c s="1853" t="s">
        <v>22</v>
      </c>
      <c s="1853" t="s">
        <v>808</v>
      </c>
    </row>
    <row r="208" spans="1:9" ht="11.25" customHeight="1">
      <c r="A208" s="1853" t="s">
        <v>2247</v>
      </c>
      <c s="1853" t="s">
        <v>16</v>
      </c>
      <c s="1853" t="s">
        <v>3037</v>
      </c>
      <c s="1853" t="s">
        <v>3038</v>
      </c>
      <c s="1853" t="s">
        <v>3039</v>
      </c>
      <c s="1853" t="s">
        <v>51</v>
      </c>
      <c s="1853" t="s">
        <v>3040</v>
      </c>
      <c s="1853" t="s">
        <v>22</v>
      </c>
      <c s="1853" t="s">
        <v>808</v>
      </c>
    </row>
    <row r="209" spans="1:9" ht="11.25" customHeight="1">
      <c r="A209" s="1853" t="s">
        <v>2247</v>
      </c>
      <c s="1853" t="s">
        <v>16</v>
      </c>
      <c s="1853" t="s">
        <v>3041</v>
      </c>
      <c s="1853" t="s">
        <v>3042</v>
      </c>
      <c s="1853" t="s">
        <v>3043</v>
      </c>
      <c s="1853" t="s">
        <v>2290</v>
      </c>
      <c s="1853" t="s">
        <v>3044</v>
      </c>
      <c s="1853" t="s">
        <v>22</v>
      </c>
      <c s="1853" t="s">
        <v>808</v>
      </c>
    </row>
    <row r="210" spans="1:9" ht="11.25" customHeight="1">
      <c r="A210" s="1853" t="s">
        <v>2247</v>
      </c>
      <c s="1853" t="s">
        <v>16</v>
      </c>
      <c s="1853" t="s">
        <v>3045</v>
      </c>
      <c s="1853" t="s">
        <v>3046</v>
      </c>
      <c s="1853" t="s">
        <v>3047</v>
      </c>
      <c s="1853" t="s">
        <v>51</v>
      </c>
      <c s="1853" t="s">
        <v>3048</v>
      </c>
      <c s="1853" t="s">
        <v>22</v>
      </c>
      <c s="1853" t="s">
        <v>808</v>
      </c>
    </row>
    <row r="211" spans="1:9" ht="11.25" customHeight="1">
      <c r="A211" s="1853" t="s">
        <v>2247</v>
      </c>
      <c s="1853" t="s">
        <v>16</v>
      </c>
      <c s="1853" t="s">
        <v>3049</v>
      </c>
      <c s="1853" t="s">
        <v>3050</v>
      </c>
      <c s="1853" t="s">
        <v>3051</v>
      </c>
      <c s="1853" t="s">
        <v>2328</v>
      </c>
      <c s="1853" t="s">
        <v>3052</v>
      </c>
      <c s="1853" t="s">
        <v>22</v>
      </c>
      <c s="1853" t="s">
        <v>808</v>
      </c>
    </row>
    <row r="212" spans="1:9" ht="11.25" customHeight="1">
      <c r="A212" s="1853" t="s">
        <v>2247</v>
      </c>
      <c s="1853" t="s">
        <v>16</v>
      </c>
      <c s="1853" t="s">
        <v>3053</v>
      </c>
      <c s="1853" t="s">
        <v>3054</v>
      </c>
      <c s="1853" t="s">
        <v>3055</v>
      </c>
      <c s="1853" t="s">
        <v>3056</v>
      </c>
      <c s="1853" t="s">
        <v>3057</v>
      </c>
      <c s="1853" t="s">
        <v>22</v>
      </c>
      <c s="1853" t="s">
        <v>808</v>
      </c>
    </row>
    <row r="213" spans="1:9" ht="11.25" customHeight="1">
      <c r="A213" s="1853" t="s">
        <v>2247</v>
      </c>
      <c s="1853" t="s">
        <v>16</v>
      </c>
      <c s="1853" t="s">
        <v>3058</v>
      </c>
      <c s="1853" t="s">
        <v>3059</v>
      </c>
      <c s="1853" t="s">
        <v>3060</v>
      </c>
      <c s="1853" t="s">
        <v>2568</v>
      </c>
      <c s="1853" t="s">
        <v>22</v>
      </c>
      <c s="1853" t="s">
        <v>22</v>
      </c>
      <c s="1853" t="s">
        <v>808</v>
      </c>
    </row>
    <row r="214" spans="1:9" ht="11.25" customHeight="1">
      <c r="A214" s="1853" t="s">
        <v>2247</v>
      </c>
      <c s="1853" t="s">
        <v>16</v>
      </c>
      <c s="1853" t="s">
        <v>3061</v>
      </c>
      <c s="1853" t="s">
        <v>3062</v>
      </c>
      <c s="1853" t="s">
        <v>3063</v>
      </c>
      <c s="1853" t="s">
        <v>2328</v>
      </c>
      <c s="1853" t="s">
        <v>3064</v>
      </c>
      <c s="1853" t="s">
        <v>22</v>
      </c>
      <c s="1853" t="s">
        <v>808</v>
      </c>
    </row>
    <row r="215" spans="1:9" ht="11.25" customHeight="1">
      <c r="A215" s="1853" t="s">
        <v>2247</v>
      </c>
      <c s="1853" t="s">
        <v>16</v>
      </c>
      <c s="1853" t="s">
        <v>3065</v>
      </c>
      <c s="1853" t="s">
        <v>3066</v>
      </c>
      <c s="1853" t="s">
        <v>3067</v>
      </c>
      <c s="1853" t="s">
        <v>2395</v>
      </c>
      <c s="1853" t="s">
        <v>3068</v>
      </c>
      <c s="1853" t="s">
        <v>22</v>
      </c>
      <c s="1853" t="s">
        <v>808</v>
      </c>
    </row>
    <row r="216" spans="1:9" ht="11.25" customHeight="1">
      <c r="A216" s="1853" t="s">
        <v>2247</v>
      </c>
      <c s="1853" t="s">
        <v>16</v>
      </c>
      <c s="1853" t="s">
        <v>3069</v>
      </c>
      <c s="1853" t="s">
        <v>3070</v>
      </c>
      <c s="1853" t="s">
        <v>3071</v>
      </c>
      <c s="1853" t="s">
        <v>51</v>
      </c>
      <c s="1853" t="s">
        <v>3072</v>
      </c>
      <c s="1853" t="s">
        <v>22</v>
      </c>
      <c s="1853" t="s">
        <v>808</v>
      </c>
    </row>
    <row r="217" spans="1:9" ht="11.25" customHeight="1">
      <c r="A217" s="1853" t="s">
        <v>2247</v>
      </c>
      <c s="1853" t="s">
        <v>16</v>
      </c>
      <c s="1853" t="s">
        <v>3073</v>
      </c>
      <c s="1853" t="s">
        <v>3074</v>
      </c>
      <c s="1853" t="s">
        <v>3075</v>
      </c>
      <c s="1853" t="s">
        <v>51</v>
      </c>
      <c s="1853" t="s">
        <v>3076</v>
      </c>
      <c s="1853" t="s">
        <v>22</v>
      </c>
      <c s="1853" t="s">
        <v>808</v>
      </c>
    </row>
    <row r="218" spans="1:9" ht="11.25" customHeight="1">
      <c r="A218" s="1853" t="s">
        <v>2247</v>
      </c>
      <c s="1853" t="s">
        <v>16</v>
      </c>
      <c s="1853" t="s">
        <v>3077</v>
      </c>
      <c s="1853" t="s">
        <v>3078</v>
      </c>
      <c s="1853" t="s">
        <v>3079</v>
      </c>
      <c s="1853" t="s">
        <v>3080</v>
      </c>
      <c s="1853" t="s">
        <v>3081</v>
      </c>
      <c s="1853" t="s">
        <v>22</v>
      </c>
      <c s="1853" t="s">
        <v>808</v>
      </c>
    </row>
    <row r="219" spans="1:9" ht="11.25" customHeight="1">
      <c r="A219" s="1853" t="s">
        <v>2247</v>
      </c>
      <c s="1853" t="s">
        <v>16</v>
      </c>
      <c s="1853" t="s">
        <v>3082</v>
      </c>
      <c s="1853" t="s">
        <v>3083</v>
      </c>
      <c s="1853" t="s">
        <v>3084</v>
      </c>
      <c s="1853" t="s">
        <v>2251</v>
      </c>
      <c s="1853" t="s">
        <v>3085</v>
      </c>
      <c s="1853" t="s">
        <v>22</v>
      </c>
      <c s="1853" t="s">
        <v>808</v>
      </c>
    </row>
    <row r="220" spans="1:9" ht="11.25" customHeight="1">
      <c r="A220" s="1853" t="s">
        <v>2247</v>
      </c>
      <c s="1853" t="s">
        <v>16</v>
      </c>
      <c s="1853" t="s">
        <v>3086</v>
      </c>
      <c s="1853" t="s">
        <v>3087</v>
      </c>
      <c s="1853" t="s">
        <v>3088</v>
      </c>
      <c s="1853" t="s">
        <v>2370</v>
      </c>
      <c s="1853" t="s">
        <v>3089</v>
      </c>
      <c s="1853" t="s">
        <v>22</v>
      </c>
      <c s="1853" t="s">
        <v>808</v>
      </c>
    </row>
    <row r="221" spans="1:9" ht="11.25" customHeight="1">
      <c r="A221" s="1853" t="s">
        <v>2247</v>
      </c>
      <c s="1853" t="s">
        <v>16</v>
      </c>
      <c s="1853" t="s">
        <v>3090</v>
      </c>
      <c s="1853" t="s">
        <v>3091</v>
      </c>
      <c s="1853" t="s">
        <v>3092</v>
      </c>
      <c s="1853" t="s">
        <v>2290</v>
      </c>
      <c s="1853" t="s">
        <v>22</v>
      </c>
      <c s="1853" t="s">
        <v>22</v>
      </c>
      <c s="1853" t="s">
        <v>808</v>
      </c>
    </row>
    <row r="222" spans="1:9" ht="11.25" customHeight="1">
      <c r="A222" s="1853" t="s">
        <v>2247</v>
      </c>
      <c s="1853" t="s">
        <v>16</v>
      </c>
      <c s="1853" t="s">
        <v>3093</v>
      </c>
      <c s="1853" t="s">
        <v>3094</v>
      </c>
      <c s="1853" t="s">
        <v>3095</v>
      </c>
      <c s="1853" t="s">
        <v>3096</v>
      </c>
      <c s="1853" t="s">
        <v>3097</v>
      </c>
      <c s="1853" t="s">
        <v>22</v>
      </c>
      <c s="1853" t="s">
        <v>808</v>
      </c>
    </row>
    <row r="223" spans="1:9" ht="11.25" customHeight="1">
      <c r="A223" s="1853" t="s">
        <v>2247</v>
      </c>
      <c s="1853" t="s">
        <v>16</v>
      </c>
      <c s="1853" t="s">
        <v>3098</v>
      </c>
      <c s="1853" t="s">
        <v>3099</v>
      </c>
      <c s="1853" t="s">
        <v>3100</v>
      </c>
      <c s="1853" t="s">
        <v>51</v>
      </c>
      <c s="1853" t="s">
        <v>3101</v>
      </c>
      <c s="1853" t="s">
        <v>22</v>
      </c>
      <c s="1853" t="s">
        <v>808</v>
      </c>
    </row>
    <row r="224" spans="1:9" ht="11.25" customHeight="1">
      <c r="A224" s="1853" t="s">
        <v>2247</v>
      </c>
      <c s="1853" t="s">
        <v>16</v>
      </c>
      <c s="1853" t="s">
        <v>3102</v>
      </c>
      <c s="1853" t="s">
        <v>3103</v>
      </c>
      <c s="1853" t="s">
        <v>3104</v>
      </c>
      <c s="1853" t="s">
        <v>2270</v>
      </c>
      <c s="1853" t="s">
        <v>22</v>
      </c>
      <c s="1853" t="s">
        <v>22</v>
      </c>
      <c s="1853" t="s">
        <v>808</v>
      </c>
    </row>
    <row r="225" spans="1:9" ht="11.25" customHeight="1">
      <c r="A225" s="1853" t="s">
        <v>2247</v>
      </c>
      <c s="1853" t="s">
        <v>16</v>
      </c>
      <c s="1853" t="s">
        <v>3105</v>
      </c>
      <c s="1853" t="s">
        <v>3106</v>
      </c>
      <c s="1853" t="s">
        <v>3107</v>
      </c>
      <c s="1853" t="s">
        <v>3108</v>
      </c>
      <c s="1853" t="s">
        <v>22</v>
      </c>
      <c s="1853" t="s">
        <v>22</v>
      </c>
      <c s="1853" t="s">
        <v>808</v>
      </c>
    </row>
    <row r="226" spans="1:9" ht="11.25" customHeight="1">
      <c r="A226" s="1853" t="s">
        <v>2247</v>
      </c>
      <c s="1853" t="s">
        <v>16</v>
      </c>
      <c s="1853" t="s">
        <v>3109</v>
      </c>
      <c s="1853" t="s">
        <v>3110</v>
      </c>
      <c s="1853" t="s">
        <v>3111</v>
      </c>
      <c s="1853" t="s">
        <v>2290</v>
      </c>
      <c s="1853" t="s">
        <v>3112</v>
      </c>
      <c s="1853" t="s">
        <v>22</v>
      </c>
      <c s="1853" t="s">
        <v>808</v>
      </c>
    </row>
    <row r="227" spans="1:9" ht="11.25" customHeight="1">
      <c r="A227" s="1853" t="s">
        <v>2247</v>
      </c>
      <c s="1853" t="s">
        <v>16</v>
      </c>
      <c s="1853" t="s">
        <v>3113</v>
      </c>
      <c s="1853" t="s">
        <v>3114</v>
      </c>
      <c s="1853" t="s">
        <v>3115</v>
      </c>
      <c s="1853" t="s">
        <v>2684</v>
      </c>
      <c s="1853" t="s">
        <v>3116</v>
      </c>
      <c s="1853" t="s">
        <v>22</v>
      </c>
      <c s="1853" t="s">
        <v>808</v>
      </c>
    </row>
    <row r="228" spans="1:9" ht="11.25" customHeight="1">
      <c r="A228" s="1853" t="s">
        <v>2247</v>
      </c>
      <c s="1853" t="s">
        <v>16</v>
      </c>
      <c s="1853" t="s">
        <v>3117</v>
      </c>
      <c s="1853" t="s">
        <v>3118</v>
      </c>
      <c s="1853" t="s">
        <v>3119</v>
      </c>
      <c s="1853" t="s">
        <v>2290</v>
      </c>
      <c s="1853" t="s">
        <v>22</v>
      </c>
      <c s="1853" t="s">
        <v>22</v>
      </c>
      <c s="1853" t="s">
        <v>808</v>
      </c>
    </row>
    <row r="229" spans="1:9" ht="11.25" customHeight="1">
      <c r="A229" s="1853" t="s">
        <v>2247</v>
      </c>
      <c s="1853" t="s">
        <v>16</v>
      </c>
      <c s="1853" t="s">
        <v>3120</v>
      </c>
      <c s="1853" t="s">
        <v>3121</v>
      </c>
      <c s="1853" t="s">
        <v>3122</v>
      </c>
      <c s="1853" t="s">
        <v>2391</v>
      </c>
      <c s="1853" t="s">
        <v>3123</v>
      </c>
      <c s="1853" t="s">
        <v>22</v>
      </c>
      <c s="1853" t="s">
        <v>808</v>
      </c>
    </row>
    <row r="230" spans="1:9" ht="11.25" customHeight="1">
      <c r="A230" s="1853" t="s">
        <v>2247</v>
      </c>
      <c s="1853" t="s">
        <v>16</v>
      </c>
      <c s="1853" t="s">
        <v>3124</v>
      </c>
      <c s="1853" t="s">
        <v>3125</v>
      </c>
      <c s="1853" t="s">
        <v>3126</v>
      </c>
      <c s="1853" t="s">
        <v>2256</v>
      </c>
      <c s="1853" t="s">
        <v>3127</v>
      </c>
      <c s="1853" t="s">
        <v>22</v>
      </c>
      <c s="1853" t="s">
        <v>808</v>
      </c>
    </row>
    <row r="231" spans="1:9" ht="11.25" customHeight="1">
      <c r="A231" s="1853" t="s">
        <v>2247</v>
      </c>
      <c s="1853" t="s">
        <v>16</v>
      </c>
      <c s="1853" t="s">
        <v>3128</v>
      </c>
      <c s="1853" t="s">
        <v>3129</v>
      </c>
      <c s="1853" t="s">
        <v>3130</v>
      </c>
      <c s="1853" t="s">
        <v>2290</v>
      </c>
      <c s="1853" t="s">
        <v>3131</v>
      </c>
      <c s="1853" t="s">
        <v>22</v>
      </c>
      <c s="1853" t="s">
        <v>808</v>
      </c>
    </row>
    <row r="232" spans="1:9" ht="11.25" customHeight="1">
      <c r="A232" s="1853" t="s">
        <v>2247</v>
      </c>
      <c s="1853" t="s">
        <v>16</v>
      </c>
      <c s="1853" t="s">
        <v>3132</v>
      </c>
      <c s="1853" t="s">
        <v>3133</v>
      </c>
      <c s="1853" t="s">
        <v>3134</v>
      </c>
      <c s="1853" t="s">
        <v>51</v>
      </c>
      <c s="1853" t="s">
        <v>3135</v>
      </c>
      <c s="1853" t="s">
        <v>22</v>
      </c>
      <c s="1853" t="s">
        <v>808</v>
      </c>
    </row>
    <row r="233" spans="1:9" ht="11.25" customHeight="1">
      <c r="A233" s="1853" t="s">
        <v>2247</v>
      </c>
      <c s="1853" t="s">
        <v>16</v>
      </c>
      <c s="1853" t="s">
        <v>3136</v>
      </c>
      <c s="1853" t="s">
        <v>3137</v>
      </c>
      <c s="1853" t="s">
        <v>3138</v>
      </c>
      <c s="1853" t="s">
        <v>2251</v>
      </c>
      <c s="1853" t="s">
        <v>3139</v>
      </c>
      <c s="1853" t="s">
        <v>22</v>
      </c>
      <c s="1853" t="s">
        <v>808</v>
      </c>
    </row>
    <row r="234" spans="1:9" ht="11.25" customHeight="1">
      <c r="A234" s="1853" t="s">
        <v>2247</v>
      </c>
      <c s="1853" t="s">
        <v>16</v>
      </c>
      <c s="1853" t="s">
        <v>3140</v>
      </c>
      <c s="1853" t="s">
        <v>3141</v>
      </c>
      <c s="1853" t="s">
        <v>3142</v>
      </c>
      <c s="1853" t="s">
        <v>2290</v>
      </c>
      <c s="1853" t="s">
        <v>3143</v>
      </c>
      <c s="1853" t="s">
        <v>22</v>
      </c>
      <c s="1853" t="s">
        <v>808</v>
      </c>
    </row>
    <row r="235" spans="1:9" ht="11.25" customHeight="1">
      <c r="A235" s="1853" t="s">
        <v>2247</v>
      </c>
      <c s="1853" t="s">
        <v>16</v>
      </c>
      <c s="1853" t="s">
        <v>3144</v>
      </c>
      <c s="1853" t="s">
        <v>3141</v>
      </c>
      <c s="1853" t="s">
        <v>3145</v>
      </c>
      <c s="1853" t="s">
        <v>3146</v>
      </c>
      <c s="1853" t="s">
        <v>3147</v>
      </c>
      <c s="1853" t="s">
        <v>22</v>
      </c>
      <c s="1853" t="s">
        <v>808</v>
      </c>
    </row>
    <row r="236" spans="1:9" ht="11.25" customHeight="1">
      <c r="A236" s="1853" t="s">
        <v>2247</v>
      </c>
      <c s="1853" t="s">
        <v>16</v>
      </c>
      <c s="1853" t="s">
        <v>3148</v>
      </c>
      <c s="1853" t="s">
        <v>3149</v>
      </c>
      <c s="1853" t="s">
        <v>3150</v>
      </c>
      <c s="1853" t="s">
        <v>2251</v>
      </c>
      <c s="1853" t="s">
        <v>3151</v>
      </c>
      <c s="1853" t="s">
        <v>22</v>
      </c>
      <c s="1853" t="s">
        <v>808</v>
      </c>
    </row>
    <row r="237" spans="1:9" ht="11.25" customHeight="1">
      <c r="A237" s="1853" t="s">
        <v>2247</v>
      </c>
      <c s="1853" t="s">
        <v>16</v>
      </c>
      <c s="1853" t="s">
        <v>3152</v>
      </c>
      <c s="1853" t="s">
        <v>3153</v>
      </c>
      <c s="1853" t="s">
        <v>3154</v>
      </c>
      <c s="1853" t="s">
        <v>2290</v>
      </c>
      <c s="1853" t="s">
        <v>3155</v>
      </c>
      <c s="1853" t="s">
        <v>22</v>
      </c>
      <c s="1853" t="s">
        <v>808</v>
      </c>
    </row>
    <row r="238" spans="1:9" ht="11.25" customHeight="1">
      <c r="A238" s="1853" t="s">
        <v>2247</v>
      </c>
      <c s="1853" t="s">
        <v>16</v>
      </c>
      <c s="1853" t="s">
        <v>3156</v>
      </c>
      <c s="1853" t="s">
        <v>3153</v>
      </c>
      <c s="1853" t="s">
        <v>3157</v>
      </c>
      <c s="1853" t="s">
        <v>2395</v>
      </c>
      <c s="1853" t="s">
        <v>3158</v>
      </c>
      <c s="1853" t="s">
        <v>22</v>
      </c>
      <c s="1853" t="s">
        <v>808</v>
      </c>
    </row>
    <row r="239" spans="1:9" ht="11.25" customHeight="1">
      <c r="A239" s="1853" t="s">
        <v>2247</v>
      </c>
      <c s="1853" t="s">
        <v>16</v>
      </c>
      <c s="1853" t="s">
        <v>3159</v>
      </c>
      <c s="1853" t="s">
        <v>3160</v>
      </c>
      <c s="1853" t="s">
        <v>3161</v>
      </c>
      <c s="1853" t="s">
        <v>2328</v>
      </c>
      <c s="1853" t="s">
        <v>3162</v>
      </c>
      <c s="1853" t="s">
        <v>22</v>
      </c>
      <c s="1853" t="s">
        <v>808</v>
      </c>
    </row>
    <row r="240" spans="1:9" ht="11.25" customHeight="1">
      <c r="A240" s="1853" t="s">
        <v>2247</v>
      </c>
      <c s="1853" t="s">
        <v>16</v>
      </c>
      <c s="1853" t="s">
        <v>3163</v>
      </c>
      <c s="1853" t="s">
        <v>3164</v>
      </c>
      <c s="1853" t="s">
        <v>3165</v>
      </c>
      <c s="1853" t="s">
        <v>2391</v>
      </c>
      <c s="1853" t="s">
        <v>22</v>
      </c>
      <c s="1853" t="s">
        <v>22</v>
      </c>
      <c s="1853" t="s">
        <v>808</v>
      </c>
    </row>
    <row r="241" spans="1:9" ht="11.25" customHeight="1">
      <c r="A241" s="1853" t="s">
        <v>2247</v>
      </c>
      <c s="1853" t="s">
        <v>16</v>
      </c>
      <c s="1853" t="s">
        <v>3166</v>
      </c>
      <c s="1853" t="s">
        <v>3167</v>
      </c>
      <c s="1853" t="s">
        <v>3168</v>
      </c>
      <c s="1853" t="s">
        <v>3169</v>
      </c>
      <c s="1853" t="s">
        <v>22</v>
      </c>
      <c s="1853" t="s">
        <v>22</v>
      </c>
      <c s="1853" t="s">
        <v>808</v>
      </c>
    </row>
    <row r="242" spans="1:9" ht="11.25" customHeight="1">
      <c r="A242" s="1853" t="s">
        <v>2247</v>
      </c>
      <c s="1853" t="s">
        <v>16</v>
      </c>
      <c s="1853" t="s">
        <v>3170</v>
      </c>
      <c s="1853" t="s">
        <v>3171</v>
      </c>
      <c s="1853" t="s">
        <v>3172</v>
      </c>
      <c s="1853" t="s">
        <v>2251</v>
      </c>
      <c s="1853" t="s">
        <v>3173</v>
      </c>
      <c s="1853" t="s">
        <v>22</v>
      </c>
      <c s="1853" t="s">
        <v>808</v>
      </c>
    </row>
    <row r="243" spans="1:9" ht="11.25" customHeight="1">
      <c r="A243" s="1853" t="s">
        <v>2247</v>
      </c>
      <c s="1853" t="s">
        <v>16</v>
      </c>
      <c s="1853" t="s">
        <v>3174</v>
      </c>
      <c s="1853" t="s">
        <v>3175</v>
      </c>
      <c s="1853" t="s">
        <v>3176</v>
      </c>
      <c s="1853" t="s">
        <v>2251</v>
      </c>
      <c s="1853" t="s">
        <v>3151</v>
      </c>
      <c s="1853" t="s">
        <v>22</v>
      </c>
      <c s="1853" t="s">
        <v>808</v>
      </c>
    </row>
    <row r="244" spans="1:9" ht="11.25" customHeight="1">
      <c r="A244" s="1853" t="s">
        <v>2247</v>
      </c>
      <c s="1853" t="s">
        <v>16</v>
      </c>
      <c s="1853" t="s">
        <v>3177</v>
      </c>
      <c s="1853" t="s">
        <v>3178</v>
      </c>
      <c s="1853" t="s">
        <v>3179</v>
      </c>
      <c s="1853" t="s">
        <v>2256</v>
      </c>
      <c s="1853" t="s">
        <v>3180</v>
      </c>
      <c s="1853" t="s">
        <v>22</v>
      </c>
      <c s="1853" t="s">
        <v>808</v>
      </c>
    </row>
    <row r="245" spans="1:9" ht="11.25" customHeight="1">
      <c r="A245" s="1853" t="s">
        <v>2247</v>
      </c>
      <c s="1853" t="s">
        <v>16</v>
      </c>
      <c s="1853" t="s">
        <v>3181</v>
      </c>
      <c s="1853" t="s">
        <v>3182</v>
      </c>
      <c s="1853" t="s">
        <v>3183</v>
      </c>
      <c s="1853" t="s">
        <v>2256</v>
      </c>
      <c s="1853" t="s">
        <v>22</v>
      </c>
      <c s="1853" t="s">
        <v>22</v>
      </c>
      <c s="1853" t="s">
        <v>808</v>
      </c>
    </row>
    <row r="246" spans="1:9" ht="11.25" customHeight="1">
      <c r="A246" s="1853" t="s">
        <v>2247</v>
      </c>
      <c s="1853" t="s">
        <v>16</v>
      </c>
      <c s="1853" t="s">
        <v>3184</v>
      </c>
      <c s="1853" t="s">
        <v>3185</v>
      </c>
      <c s="1853" t="s">
        <v>3186</v>
      </c>
      <c s="1853" t="s">
        <v>3187</v>
      </c>
      <c s="1853" t="s">
        <v>22</v>
      </c>
      <c s="1853" t="s">
        <v>22</v>
      </c>
      <c s="1853" t="s">
        <v>808</v>
      </c>
    </row>
    <row r="247" spans="1:9" ht="11.25" customHeight="1">
      <c r="A247" s="1853" t="s">
        <v>2247</v>
      </c>
      <c s="1853" t="s">
        <v>16</v>
      </c>
      <c s="1853" t="s">
        <v>3188</v>
      </c>
      <c s="1853" t="s">
        <v>3189</v>
      </c>
      <c s="1853" t="s">
        <v>3190</v>
      </c>
      <c s="1853" t="s">
        <v>51</v>
      </c>
      <c s="1853" t="s">
        <v>3191</v>
      </c>
      <c s="1853" t="s">
        <v>22</v>
      </c>
      <c s="1853" t="s">
        <v>808</v>
      </c>
    </row>
    <row r="248" spans="1:9" ht="11.25" customHeight="1">
      <c r="A248" s="1853" t="s">
        <v>2247</v>
      </c>
      <c s="1853" t="s">
        <v>16</v>
      </c>
      <c s="1853" t="s">
        <v>3192</v>
      </c>
      <c s="1853" t="s">
        <v>3193</v>
      </c>
      <c s="1853" t="s">
        <v>3194</v>
      </c>
      <c s="1853" t="s">
        <v>2395</v>
      </c>
      <c s="1853" t="s">
        <v>3195</v>
      </c>
      <c s="1853" t="s">
        <v>22</v>
      </c>
      <c s="1853" t="s">
        <v>808</v>
      </c>
    </row>
    <row r="249" spans="1:9" ht="11.25" customHeight="1">
      <c r="A249" s="1853" t="s">
        <v>2247</v>
      </c>
      <c s="1853" t="s">
        <v>16</v>
      </c>
      <c s="1853" t="s">
        <v>3196</v>
      </c>
      <c s="1853" t="s">
        <v>3197</v>
      </c>
      <c s="1853" t="s">
        <v>3198</v>
      </c>
      <c s="1853" t="s">
        <v>51</v>
      </c>
      <c s="1853" t="s">
        <v>3199</v>
      </c>
      <c s="1853" t="s">
        <v>22</v>
      </c>
      <c s="1853" t="s">
        <v>808</v>
      </c>
    </row>
    <row r="250" spans="1:9" ht="11.25" customHeight="1">
      <c r="A250" s="1853" t="s">
        <v>2247</v>
      </c>
      <c s="1853" t="s">
        <v>16</v>
      </c>
      <c s="1853" t="s">
        <v>3200</v>
      </c>
      <c s="1853" t="s">
        <v>3201</v>
      </c>
      <c s="1853" t="s">
        <v>3202</v>
      </c>
      <c s="1853" t="s">
        <v>3203</v>
      </c>
      <c s="1853" t="s">
        <v>22</v>
      </c>
      <c s="1853" t="s">
        <v>22</v>
      </c>
      <c s="1853" t="s">
        <v>808</v>
      </c>
    </row>
    <row r="251" spans="1:9" ht="11.25" customHeight="1">
      <c r="A251" s="1853" t="s">
        <v>2247</v>
      </c>
      <c s="1853" t="s">
        <v>16</v>
      </c>
      <c s="1853" t="s">
        <v>3204</v>
      </c>
      <c s="1853" t="s">
        <v>3205</v>
      </c>
      <c s="1853" t="s">
        <v>3206</v>
      </c>
      <c s="1853" t="s">
        <v>2328</v>
      </c>
      <c s="1853" t="s">
        <v>22</v>
      </c>
      <c s="1853" t="s">
        <v>22</v>
      </c>
      <c s="1853" t="s">
        <v>808</v>
      </c>
    </row>
    <row r="252" spans="1:9" ht="11.25" customHeight="1">
      <c r="A252" s="1853" t="s">
        <v>2247</v>
      </c>
      <c s="1853" t="s">
        <v>16</v>
      </c>
      <c s="1853" t="s">
        <v>3207</v>
      </c>
      <c s="1853" t="s">
        <v>3208</v>
      </c>
      <c s="1853" t="s">
        <v>3209</v>
      </c>
      <c s="1853" t="s">
        <v>2328</v>
      </c>
      <c s="1853" t="s">
        <v>3210</v>
      </c>
      <c s="1853" t="s">
        <v>22</v>
      </c>
      <c s="1853" t="s">
        <v>808</v>
      </c>
    </row>
    <row r="253" spans="1:9" ht="11.25" customHeight="1">
      <c r="A253" s="1853" t="s">
        <v>2247</v>
      </c>
      <c s="1853" t="s">
        <v>16</v>
      </c>
      <c s="1853" t="s">
        <v>3211</v>
      </c>
      <c s="1853" t="s">
        <v>3212</v>
      </c>
      <c s="1853" t="s">
        <v>3213</v>
      </c>
      <c s="1853" t="s">
        <v>3214</v>
      </c>
      <c s="1853" t="s">
        <v>3215</v>
      </c>
      <c s="1853" t="s">
        <v>22</v>
      </c>
      <c s="1853" t="s">
        <v>808</v>
      </c>
    </row>
    <row r="254" spans="1:9" ht="11.25" customHeight="1">
      <c r="A254" s="1853" t="s">
        <v>2247</v>
      </c>
      <c s="1853" t="s">
        <v>16</v>
      </c>
      <c s="1853" t="s">
        <v>3216</v>
      </c>
      <c s="1853" t="s">
        <v>3217</v>
      </c>
      <c s="1853" t="s">
        <v>3218</v>
      </c>
      <c s="1853" t="s">
        <v>2251</v>
      </c>
      <c s="1853" t="s">
        <v>3219</v>
      </c>
      <c s="1853" t="s">
        <v>22</v>
      </c>
      <c s="1853" t="s">
        <v>808</v>
      </c>
    </row>
    <row r="255" spans="1:9" ht="11.25" customHeight="1">
      <c r="A255" s="1853" t="s">
        <v>2247</v>
      </c>
      <c s="1853" t="s">
        <v>16</v>
      </c>
      <c s="1853" t="s">
        <v>3220</v>
      </c>
      <c s="1853" t="s">
        <v>3221</v>
      </c>
      <c s="1853" t="s">
        <v>3222</v>
      </c>
      <c s="1853" t="s">
        <v>2251</v>
      </c>
      <c s="1853" t="s">
        <v>3223</v>
      </c>
      <c s="1853" t="s">
        <v>22</v>
      </c>
      <c s="1853" t="s">
        <v>808</v>
      </c>
    </row>
    <row r="256" spans="1:9" ht="11.25" customHeight="1">
      <c r="A256" s="1853" t="s">
        <v>2247</v>
      </c>
      <c s="1853" t="s">
        <v>16</v>
      </c>
      <c s="1853" t="s">
        <v>3224</v>
      </c>
      <c s="1853" t="s">
        <v>3225</v>
      </c>
      <c s="1853" t="s">
        <v>3226</v>
      </c>
      <c s="1853" t="s">
        <v>2620</v>
      </c>
      <c s="1853" t="s">
        <v>22</v>
      </c>
      <c s="1853" t="s">
        <v>22</v>
      </c>
      <c s="1853" t="s">
        <v>808</v>
      </c>
    </row>
    <row r="257" spans="1:9" ht="11.25" customHeight="1">
      <c r="A257" s="1853" t="s">
        <v>2247</v>
      </c>
      <c s="1853" t="s">
        <v>16</v>
      </c>
      <c s="1853" t="s">
        <v>3227</v>
      </c>
      <c s="1853" t="s">
        <v>3228</v>
      </c>
      <c s="1853" t="s">
        <v>3229</v>
      </c>
      <c s="1853" t="s">
        <v>2395</v>
      </c>
      <c s="1853" t="s">
        <v>3230</v>
      </c>
      <c s="1853" t="s">
        <v>22</v>
      </c>
      <c s="1853" t="s">
        <v>808</v>
      </c>
    </row>
    <row r="258" spans="1:9" ht="11.25" customHeight="1">
      <c r="A258" s="1853" t="s">
        <v>2247</v>
      </c>
      <c s="1853" t="s">
        <v>16</v>
      </c>
      <c s="1853" t="s">
        <v>3231</v>
      </c>
      <c s="1853" t="s">
        <v>3232</v>
      </c>
      <c s="1853" t="s">
        <v>3233</v>
      </c>
      <c s="1853" t="s">
        <v>3234</v>
      </c>
      <c s="1853" t="s">
        <v>3235</v>
      </c>
      <c s="1853" t="s">
        <v>22</v>
      </c>
      <c s="1853" t="s">
        <v>808</v>
      </c>
    </row>
    <row r="259" spans="1:9" ht="11.25" customHeight="1">
      <c r="A259" s="1853" t="s">
        <v>2247</v>
      </c>
      <c s="1853" t="s">
        <v>16</v>
      </c>
      <c s="1853" t="s">
        <v>3236</v>
      </c>
      <c s="1853" t="s">
        <v>3237</v>
      </c>
      <c s="1853" t="s">
        <v>3238</v>
      </c>
      <c s="1853" t="s">
        <v>2370</v>
      </c>
      <c s="1853" t="s">
        <v>3239</v>
      </c>
      <c s="1853" t="s">
        <v>22</v>
      </c>
      <c s="1853" t="s">
        <v>808</v>
      </c>
    </row>
    <row r="260" spans="1:9" ht="11.25" customHeight="1">
      <c r="A260" s="1853" t="s">
        <v>2247</v>
      </c>
      <c s="1853" t="s">
        <v>16</v>
      </c>
      <c s="1853" t="s">
        <v>3240</v>
      </c>
      <c s="1853" t="s">
        <v>3241</v>
      </c>
      <c s="1853" t="s">
        <v>3242</v>
      </c>
      <c s="1853" t="s">
        <v>2256</v>
      </c>
      <c s="1853" t="s">
        <v>3243</v>
      </c>
      <c s="1853" t="s">
        <v>22</v>
      </c>
      <c s="1853" t="s">
        <v>808</v>
      </c>
    </row>
    <row r="261" spans="1:9" ht="11.25" customHeight="1">
      <c r="A261" s="1853" t="s">
        <v>2247</v>
      </c>
      <c s="1853" t="s">
        <v>16</v>
      </c>
      <c s="1853" t="s">
        <v>3244</v>
      </c>
      <c s="1853" t="s">
        <v>3245</v>
      </c>
      <c s="1853" t="s">
        <v>3246</v>
      </c>
      <c s="1853" t="s">
        <v>51</v>
      </c>
      <c s="1853" t="s">
        <v>3247</v>
      </c>
      <c s="1853" t="s">
        <v>22</v>
      </c>
      <c s="1853" t="s">
        <v>808</v>
      </c>
    </row>
    <row r="262" spans="1:9" ht="11.25" customHeight="1">
      <c r="A262" s="1853" t="s">
        <v>2247</v>
      </c>
      <c s="1853" t="s">
        <v>16</v>
      </c>
      <c s="1853" t="s">
        <v>3248</v>
      </c>
      <c s="1853" t="s">
        <v>3249</v>
      </c>
      <c s="1853" t="s">
        <v>3250</v>
      </c>
      <c s="1853" t="s">
        <v>2348</v>
      </c>
      <c s="1853" t="s">
        <v>22</v>
      </c>
      <c s="1853" t="s">
        <v>22</v>
      </c>
      <c s="1853" t="s">
        <v>808</v>
      </c>
    </row>
    <row r="263" spans="1:9" ht="11.25" customHeight="1">
      <c r="A263" s="1853" t="s">
        <v>2247</v>
      </c>
      <c s="1853" t="s">
        <v>16</v>
      </c>
      <c s="1853" t="s">
        <v>3251</v>
      </c>
      <c s="1853" t="s">
        <v>3252</v>
      </c>
      <c s="1853" t="s">
        <v>3253</v>
      </c>
      <c s="1853" t="s">
        <v>2395</v>
      </c>
      <c s="1853" t="s">
        <v>3254</v>
      </c>
      <c s="1853" t="s">
        <v>22</v>
      </c>
      <c s="1853" t="s">
        <v>808</v>
      </c>
    </row>
    <row r="264" spans="1:9" ht="11.25" customHeight="1">
      <c r="A264" s="1853" t="s">
        <v>2247</v>
      </c>
      <c s="1853" t="s">
        <v>16</v>
      </c>
      <c s="1853" t="s">
        <v>3255</v>
      </c>
      <c s="1853" t="s">
        <v>3256</v>
      </c>
      <c s="1853" t="s">
        <v>3257</v>
      </c>
      <c s="1853" t="s">
        <v>2362</v>
      </c>
      <c s="1853" t="s">
        <v>22</v>
      </c>
      <c s="1853" t="s">
        <v>22</v>
      </c>
      <c s="1853" t="s">
        <v>808</v>
      </c>
    </row>
    <row r="265" spans="1:9" ht="11.25" customHeight="1">
      <c r="A265" s="1853" t="s">
        <v>2247</v>
      </c>
      <c s="1853" t="s">
        <v>16</v>
      </c>
      <c s="1853" t="s">
        <v>3258</v>
      </c>
      <c s="1853" t="s">
        <v>3259</v>
      </c>
      <c s="1853" t="s">
        <v>3260</v>
      </c>
      <c s="1853" t="s">
        <v>51</v>
      </c>
      <c s="1853" t="s">
        <v>3261</v>
      </c>
      <c s="1853" t="s">
        <v>22</v>
      </c>
      <c s="1853" t="s">
        <v>808</v>
      </c>
    </row>
    <row r="266" spans="1:9" ht="11.25" customHeight="1">
      <c r="A266" s="1853" t="s">
        <v>2247</v>
      </c>
      <c s="1853" t="s">
        <v>16</v>
      </c>
      <c s="1853" t="s">
        <v>3262</v>
      </c>
      <c s="1853" t="s">
        <v>3263</v>
      </c>
      <c s="1853" t="s">
        <v>3264</v>
      </c>
      <c s="1853" t="s">
        <v>3265</v>
      </c>
      <c s="1853" t="s">
        <v>3266</v>
      </c>
      <c s="1853" t="s">
        <v>22</v>
      </c>
      <c s="1853" t="s">
        <v>808</v>
      </c>
    </row>
    <row r="267" spans="1:9" ht="11.25" customHeight="1">
      <c r="A267" s="1853" t="s">
        <v>2247</v>
      </c>
      <c s="1853" t="s">
        <v>16</v>
      </c>
      <c s="1853" t="s">
        <v>3267</v>
      </c>
      <c s="1853" t="s">
        <v>3268</v>
      </c>
      <c s="1853" t="s">
        <v>3269</v>
      </c>
      <c s="1853" t="s">
        <v>2328</v>
      </c>
      <c s="1853" t="s">
        <v>22</v>
      </c>
      <c s="1853" t="s">
        <v>22</v>
      </c>
      <c s="1853" t="s">
        <v>808</v>
      </c>
    </row>
    <row r="268" spans="1:9" ht="11.25" customHeight="1">
      <c r="A268" s="1853" t="s">
        <v>2247</v>
      </c>
      <c s="1853" t="s">
        <v>16</v>
      </c>
      <c s="1853" t="s">
        <v>3270</v>
      </c>
      <c s="1853" t="s">
        <v>3271</v>
      </c>
      <c s="1853" t="s">
        <v>3272</v>
      </c>
      <c s="1853" t="s">
        <v>2362</v>
      </c>
      <c s="1853" t="s">
        <v>22</v>
      </c>
      <c s="1853" t="s">
        <v>22</v>
      </c>
      <c s="1853" t="s">
        <v>808</v>
      </c>
    </row>
    <row r="269" spans="1:9" ht="11.25" customHeight="1">
      <c r="A269" s="1853" t="s">
        <v>2247</v>
      </c>
      <c s="1853" t="s">
        <v>16</v>
      </c>
      <c s="1853" t="s">
        <v>3273</v>
      </c>
      <c s="1853" t="s">
        <v>3274</v>
      </c>
      <c s="1853" t="s">
        <v>3275</v>
      </c>
      <c s="1853" t="s">
        <v>51</v>
      </c>
      <c s="1853" t="s">
        <v>3276</v>
      </c>
      <c s="1853" t="s">
        <v>22</v>
      </c>
      <c s="1853" t="s">
        <v>808</v>
      </c>
    </row>
    <row r="270" spans="1:9" ht="11.25" customHeight="1">
      <c r="A270" s="1853" t="s">
        <v>2247</v>
      </c>
      <c s="1853" t="s">
        <v>16</v>
      </c>
      <c s="1853" t="s">
        <v>3277</v>
      </c>
      <c s="1853" t="s">
        <v>3278</v>
      </c>
      <c s="1853" t="s">
        <v>3279</v>
      </c>
      <c s="1853" t="s">
        <v>2251</v>
      </c>
      <c s="1853" t="s">
        <v>22</v>
      </c>
      <c s="1853" t="s">
        <v>22</v>
      </c>
      <c s="1853" t="s">
        <v>808</v>
      </c>
    </row>
    <row r="271" spans="1:9" ht="11.25" customHeight="1">
      <c r="A271" s="1853" t="s">
        <v>2247</v>
      </c>
      <c s="1853" t="s">
        <v>16</v>
      </c>
      <c s="1853" t="s">
        <v>3280</v>
      </c>
      <c s="1853" t="s">
        <v>3281</v>
      </c>
      <c s="1853" t="s">
        <v>3282</v>
      </c>
      <c s="1853" t="s">
        <v>2395</v>
      </c>
      <c s="1853" t="s">
        <v>3283</v>
      </c>
      <c s="1853" t="s">
        <v>22</v>
      </c>
      <c s="1853" t="s">
        <v>808</v>
      </c>
    </row>
    <row r="272" spans="1:9" ht="11.25" customHeight="1">
      <c r="A272" s="1853" t="s">
        <v>2247</v>
      </c>
      <c s="1853" t="s">
        <v>16</v>
      </c>
      <c s="1853" t="s">
        <v>3284</v>
      </c>
      <c s="1853" t="s">
        <v>3285</v>
      </c>
      <c s="1853" t="s">
        <v>3286</v>
      </c>
      <c s="1853" t="s">
        <v>2395</v>
      </c>
      <c s="1853" t="s">
        <v>3287</v>
      </c>
      <c s="1853" t="s">
        <v>22</v>
      </c>
      <c s="1853" t="s">
        <v>808</v>
      </c>
    </row>
    <row r="273" spans="1:9" ht="11.25" customHeight="1">
      <c r="A273" s="1853" t="s">
        <v>2247</v>
      </c>
      <c s="1853" t="s">
        <v>16</v>
      </c>
      <c s="1853" t="s">
        <v>3288</v>
      </c>
      <c s="1853" t="s">
        <v>3285</v>
      </c>
      <c s="1853" t="s">
        <v>3289</v>
      </c>
      <c s="1853" t="s">
        <v>2395</v>
      </c>
      <c s="1853" t="s">
        <v>3290</v>
      </c>
      <c s="1853" t="s">
        <v>22</v>
      </c>
      <c s="1853" t="s">
        <v>808</v>
      </c>
    </row>
    <row r="274" spans="1:9" ht="11.25" customHeight="1">
      <c r="A274" s="1853" t="s">
        <v>2247</v>
      </c>
      <c s="1853" t="s">
        <v>16</v>
      </c>
      <c s="1853" t="s">
        <v>3291</v>
      </c>
      <c s="1853" t="s">
        <v>3292</v>
      </c>
      <c s="1853" t="s">
        <v>3293</v>
      </c>
      <c s="1853" t="s">
        <v>51</v>
      </c>
      <c s="1853" t="s">
        <v>3294</v>
      </c>
      <c s="1853" t="s">
        <v>22</v>
      </c>
      <c s="1853" t="s">
        <v>808</v>
      </c>
    </row>
    <row r="275" spans="1:9" ht="11.25" customHeight="1">
      <c r="A275" s="1853" t="s">
        <v>2247</v>
      </c>
      <c s="1853" t="s">
        <v>16</v>
      </c>
      <c s="1853" t="s">
        <v>3295</v>
      </c>
      <c s="1853" t="s">
        <v>3296</v>
      </c>
      <c s="1853" t="s">
        <v>3297</v>
      </c>
      <c s="1853" t="s">
        <v>2639</v>
      </c>
      <c s="1853" t="s">
        <v>22</v>
      </c>
      <c s="1853" t="s">
        <v>22</v>
      </c>
      <c s="1853" t="s">
        <v>808</v>
      </c>
    </row>
    <row r="276" spans="1:9" ht="11.25" customHeight="1">
      <c r="A276" s="1853" t="s">
        <v>2247</v>
      </c>
      <c s="1853" t="s">
        <v>16</v>
      </c>
      <c s="1853" t="s">
        <v>3298</v>
      </c>
      <c s="1853" t="s">
        <v>3299</v>
      </c>
      <c s="1853" t="s">
        <v>3300</v>
      </c>
      <c s="1853" t="s">
        <v>2251</v>
      </c>
      <c s="1853" t="s">
        <v>3301</v>
      </c>
      <c s="1853" t="s">
        <v>22</v>
      </c>
      <c s="1853" t="s">
        <v>808</v>
      </c>
    </row>
    <row r="277" spans="1:9" ht="11.25" customHeight="1">
      <c r="A277" s="1853" t="s">
        <v>2247</v>
      </c>
      <c s="1853" t="s">
        <v>16</v>
      </c>
      <c s="1853" t="s">
        <v>3302</v>
      </c>
      <c s="1853" t="s">
        <v>3303</v>
      </c>
      <c s="1853" t="s">
        <v>3304</v>
      </c>
      <c s="1853" t="s">
        <v>2251</v>
      </c>
      <c s="1853" t="s">
        <v>3305</v>
      </c>
      <c s="1853" t="s">
        <v>22</v>
      </c>
      <c s="1853" t="s">
        <v>808</v>
      </c>
    </row>
    <row r="278" spans="1:9" ht="11.25" customHeight="1">
      <c r="A278" s="1853" t="s">
        <v>2247</v>
      </c>
      <c s="1853" t="s">
        <v>16</v>
      </c>
      <c s="1853" t="s">
        <v>3306</v>
      </c>
      <c s="1853" t="s">
        <v>3307</v>
      </c>
      <c s="1853" t="s">
        <v>3308</v>
      </c>
      <c s="1853" t="s">
        <v>2251</v>
      </c>
      <c s="1853" t="s">
        <v>3309</v>
      </c>
      <c s="1853" t="s">
        <v>22</v>
      </c>
      <c s="1853" t="s">
        <v>808</v>
      </c>
    </row>
    <row r="279" spans="1:9" ht="11.25" customHeight="1">
      <c r="A279" s="1853" t="s">
        <v>2247</v>
      </c>
      <c s="1853" t="s">
        <v>16</v>
      </c>
      <c s="1853" t="s">
        <v>3310</v>
      </c>
      <c s="1853" t="s">
        <v>3311</v>
      </c>
      <c s="1853" t="s">
        <v>3312</v>
      </c>
      <c s="1853" t="s">
        <v>51</v>
      </c>
      <c s="1853" t="s">
        <v>22</v>
      </c>
      <c s="1853" t="s">
        <v>22</v>
      </c>
      <c s="1853" t="s">
        <v>808</v>
      </c>
    </row>
    <row r="280" spans="1:9" ht="11.25" customHeight="1">
      <c r="A280" s="1853" t="s">
        <v>2247</v>
      </c>
      <c s="1853" t="s">
        <v>16</v>
      </c>
      <c s="1853" t="s">
        <v>3313</v>
      </c>
      <c s="1853" t="s">
        <v>3314</v>
      </c>
      <c s="1853" t="s">
        <v>3315</v>
      </c>
      <c s="1853" t="s">
        <v>2265</v>
      </c>
      <c s="1853" t="s">
        <v>22</v>
      </c>
      <c s="1853" t="s">
        <v>22</v>
      </c>
      <c s="1853" t="s">
        <v>808</v>
      </c>
    </row>
    <row r="281" spans="1:9" ht="11.25" customHeight="1">
      <c r="A281" s="1853" t="s">
        <v>2247</v>
      </c>
      <c s="1853" t="s">
        <v>16</v>
      </c>
      <c s="1853" t="s">
        <v>3316</v>
      </c>
      <c s="1853" t="s">
        <v>3317</v>
      </c>
      <c s="1853" t="s">
        <v>3318</v>
      </c>
      <c s="1853" t="s">
        <v>51</v>
      </c>
      <c s="1853" t="s">
        <v>3319</v>
      </c>
      <c s="1853" t="s">
        <v>22</v>
      </c>
      <c s="1853" t="s">
        <v>808</v>
      </c>
    </row>
    <row r="282" spans="1:9" ht="11.25" customHeight="1">
      <c r="A282" s="1853" t="s">
        <v>2247</v>
      </c>
      <c s="1853" t="s">
        <v>16</v>
      </c>
      <c s="1853" t="s">
        <v>3320</v>
      </c>
      <c s="1853" t="s">
        <v>3321</v>
      </c>
      <c s="1853" t="s">
        <v>3322</v>
      </c>
      <c s="1853" t="s">
        <v>2256</v>
      </c>
      <c s="1853" t="s">
        <v>3323</v>
      </c>
      <c s="1853" t="s">
        <v>22</v>
      </c>
      <c s="1853" t="s">
        <v>808</v>
      </c>
    </row>
    <row r="283" spans="1:9" ht="11.25" customHeight="1">
      <c r="A283" s="1853" t="s">
        <v>2247</v>
      </c>
      <c s="1853" t="s">
        <v>16</v>
      </c>
      <c s="1853" t="s">
        <v>3324</v>
      </c>
      <c s="1853" t="s">
        <v>3325</v>
      </c>
      <c s="1853" t="s">
        <v>3326</v>
      </c>
      <c s="1853" t="s">
        <v>2680</v>
      </c>
      <c s="1853" t="s">
        <v>22</v>
      </c>
      <c s="1853" t="s">
        <v>22</v>
      </c>
      <c s="1853" t="s">
        <v>808</v>
      </c>
    </row>
    <row r="284" spans="1:9" ht="11.25" customHeight="1">
      <c r="A284" s="1853" t="s">
        <v>2247</v>
      </c>
      <c s="1853" t="s">
        <v>16</v>
      </c>
      <c s="1853" t="s">
        <v>3327</v>
      </c>
      <c s="1853" t="s">
        <v>3328</v>
      </c>
      <c s="1853" t="s">
        <v>3329</v>
      </c>
      <c s="1853" t="s">
        <v>3330</v>
      </c>
      <c s="1853" t="s">
        <v>3331</v>
      </c>
      <c s="1853" t="s">
        <v>22</v>
      </c>
      <c s="1853" t="s">
        <v>808</v>
      </c>
    </row>
    <row r="285" spans="1:9" ht="11.25" customHeight="1">
      <c r="A285" s="1853" t="s">
        <v>2247</v>
      </c>
      <c s="1853" t="s">
        <v>16</v>
      </c>
      <c s="1853" t="s">
        <v>3332</v>
      </c>
      <c s="1853" t="s">
        <v>3333</v>
      </c>
      <c s="1853" t="s">
        <v>3334</v>
      </c>
      <c s="1853" t="s">
        <v>2283</v>
      </c>
      <c s="1853" t="s">
        <v>22</v>
      </c>
      <c s="1853" t="s">
        <v>22</v>
      </c>
      <c s="1853" t="s">
        <v>808</v>
      </c>
    </row>
    <row r="286" spans="1:9" ht="11.25" customHeight="1">
      <c r="A286" s="1853" t="s">
        <v>2247</v>
      </c>
      <c s="1853" t="s">
        <v>16</v>
      </c>
      <c s="1853" t="s">
        <v>3335</v>
      </c>
      <c s="1853" t="s">
        <v>3336</v>
      </c>
      <c s="1853" t="s">
        <v>3337</v>
      </c>
      <c s="1853" t="s">
        <v>2251</v>
      </c>
      <c s="1853" t="s">
        <v>22</v>
      </c>
      <c s="1853" t="s">
        <v>22</v>
      </c>
      <c s="1853" t="s">
        <v>808</v>
      </c>
    </row>
    <row r="287" spans="1:9" ht="11.25" customHeight="1">
      <c r="A287" s="1853" t="s">
        <v>2247</v>
      </c>
      <c s="1853" t="s">
        <v>16</v>
      </c>
      <c s="1853" t="s">
        <v>3338</v>
      </c>
      <c s="1853" t="s">
        <v>3339</v>
      </c>
      <c s="1853" t="s">
        <v>3340</v>
      </c>
      <c s="1853" t="s">
        <v>51</v>
      </c>
      <c s="1853" t="s">
        <v>3341</v>
      </c>
      <c s="1853" t="s">
        <v>22</v>
      </c>
      <c s="1853" t="s">
        <v>808</v>
      </c>
    </row>
    <row r="288" spans="1:9" ht="11.25" customHeight="1">
      <c r="A288" s="1853" t="s">
        <v>2247</v>
      </c>
      <c s="1853" t="s">
        <v>16</v>
      </c>
      <c s="1853" t="s">
        <v>3342</v>
      </c>
      <c s="1853" t="s">
        <v>3343</v>
      </c>
      <c s="1853" t="s">
        <v>3344</v>
      </c>
      <c s="1853" t="s">
        <v>2339</v>
      </c>
      <c s="1853" t="s">
        <v>22</v>
      </c>
      <c s="1853" t="s">
        <v>22</v>
      </c>
      <c s="1853" t="s">
        <v>808</v>
      </c>
    </row>
    <row r="289" spans="1:9" ht="11.25" customHeight="1">
      <c r="A289" s="1853" t="s">
        <v>2247</v>
      </c>
      <c s="1853" t="s">
        <v>16</v>
      </c>
      <c s="1853" t="s">
        <v>3345</v>
      </c>
      <c s="1853" t="s">
        <v>3346</v>
      </c>
      <c s="1853" t="s">
        <v>3347</v>
      </c>
      <c s="1853" t="s">
        <v>2680</v>
      </c>
      <c s="1853" t="s">
        <v>22</v>
      </c>
      <c s="1853" t="s">
        <v>22</v>
      </c>
      <c s="1853" t="s">
        <v>808</v>
      </c>
    </row>
    <row r="290" spans="1:9" ht="11.25" customHeight="1">
      <c r="A290" s="1853" t="s">
        <v>2247</v>
      </c>
      <c s="1853" t="s">
        <v>16</v>
      </c>
      <c s="1853" t="s">
        <v>3348</v>
      </c>
      <c s="1853" t="s">
        <v>3349</v>
      </c>
      <c s="1853" t="s">
        <v>3350</v>
      </c>
      <c s="1853" t="s">
        <v>2395</v>
      </c>
      <c s="1853" t="s">
        <v>3351</v>
      </c>
      <c s="1853" t="s">
        <v>22</v>
      </c>
      <c s="1853" t="s">
        <v>808</v>
      </c>
    </row>
    <row r="291" spans="1:9" ht="11.25" customHeight="1">
      <c r="A291" s="1853" t="s">
        <v>2247</v>
      </c>
      <c s="1853" t="s">
        <v>16</v>
      </c>
      <c s="1853" t="s">
        <v>3352</v>
      </c>
      <c s="1853" t="s">
        <v>3353</v>
      </c>
      <c s="1853" t="s">
        <v>3354</v>
      </c>
      <c s="1853" t="s">
        <v>51</v>
      </c>
      <c s="1853" t="s">
        <v>3355</v>
      </c>
      <c s="1853" t="s">
        <v>22</v>
      </c>
      <c s="1853" t="s">
        <v>808</v>
      </c>
    </row>
    <row r="292" spans="1:9" ht="11.25" customHeight="1">
      <c r="A292" s="1853" t="s">
        <v>2247</v>
      </c>
      <c s="1853" t="s">
        <v>16</v>
      </c>
      <c s="1853" t="s">
        <v>3356</v>
      </c>
      <c s="1853" t="s">
        <v>3357</v>
      </c>
      <c s="1853" t="s">
        <v>3358</v>
      </c>
      <c s="1853" t="s">
        <v>2395</v>
      </c>
      <c s="1853" t="s">
        <v>3359</v>
      </c>
      <c s="1853" t="s">
        <v>22</v>
      </c>
      <c s="1853" t="s">
        <v>808</v>
      </c>
    </row>
    <row r="293" spans="1:9" ht="11.25" customHeight="1">
      <c r="A293" s="1853" t="s">
        <v>2247</v>
      </c>
      <c s="1853" t="s">
        <v>16</v>
      </c>
      <c s="1853" t="s">
        <v>3360</v>
      </c>
      <c s="1853" t="s">
        <v>3361</v>
      </c>
      <c s="1853" t="s">
        <v>3362</v>
      </c>
      <c s="1853" t="s">
        <v>2256</v>
      </c>
      <c s="1853" t="s">
        <v>3363</v>
      </c>
      <c s="1853" t="s">
        <v>22</v>
      </c>
      <c s="1853" t="s">
        <v>808</v>
      </c>
    </row>
    <row r="294" spans="1:9" ht="11.25" customHeight="1">
      <c r="A294" s="1853" t="s">
        <v>2247</v>
      </c>
      <c s="1853" t="s">
        <v>16</v>
      </c>
      <c s="1853" t="s">
        <v>3364</v>
      </c>
      <c s="1853" t="s">
        <v>3365</v>
      </c>
      <c s="1853" t="s">
        <v>3366</v>
      </c>
      <c s="1853" t="s">
        <v>3367</v>
      </c>
      <c s="1853" t="s">
        <v>22</v>
      </c>
      <c s="1853" t="s">
        <v>22</v>
      </c>
      <c s="1853" t="s">
        <v>808</v>
      </c>
    </row>
    <row r="295" spans="1:9" ht="11.25" customHeight="1">
      <c r="A295" s="1853" t="s">
        <v>2247</v>
      </c>
      <c s="1853" t="s">
        <v>16</v>
      </c>
      <c s="1853" t="s">
        <v>3368</v>
      </c>
      <c s="1853" t="s">
        <v>3369</v>
      </c>
      <c s="1853" t="s">
        <v>3370</v>
      </c>
      <c s="1853" t="s">
        <v>2391</v>
      </c>
      <c s="1853" t="s">
        <v>3371</v>
      </c>
      <c s="1853" t="s">
        <v>22</v>
      </c>
      <c s="1853" t="s">
        <v>808</v>
      </c>
    </row>
    <row r="296" spans="1:9" ht="11.25" customHeight="1">
      <c r="A296" s="1853" t="s">
        <v>2247</v>
      </c>
      <c s="1853" t="s">
        <v>16</v>
      </c>
      <c s="1853" t="s">
        <v>3372</v>
      </c>
      <c s="1853" t="s">
        <v>3373</v>
      </c>
      <c s="1853" t="s">
        <v>3374</v>
      </c>
      <c s="1853" t="s">
        <v>2265</v>
      </c>
      <c s="1853" t="s">
        <v>22</v>
      </c>
      <c s="1853" t="s">
        <v>22</v>
      </c>
      <c s="1853" t="s">
        <v>808</v>
      </c>
    </row>
    <row r="297" spans="1:9" ht="11.25" customHeight="1">
      <c r="A297" s="1853" t="s">
        <v>2247</v>
      </c>
      <c s="1853" t="s">
        <v>16</v>
      </c>
      <c s="1853" t="s">
        <v>3375</v>
      </c>
      <c s="1853" t="s">
        <v>3376</v>
      </c>
      <c s="1853" t="s">
        <v>3377</v>
      </c>
      <c s="1853" t="s">
        <v>2328</v>
      </c>
      <c s="1853" t="s">
        <v>22</v>
      </c>
      <c s="1853" t="s">
        <v>22</v>
      </c>
      <c s="1853" t="s">
        <v>808</v>
      </c>
    </row>
    <row r="298" spans="1:9" ht="11.25" customHeight="1">
      <c r="A298" s="1853" t="s">
        <v>2247</v>
      </c>
      <c s="1853" t="s">
        <v>16</v>
      </c>
      <c s="1853" t="s">
        <v>3378</v>
      </c>
      <c s="1853" t="s">
        <v>3379</v>
      </c>
      <c s="1853" t="s">
        <v>3380</v>
      </c>
      <c s="1853" t="s">
        <v>3381</v>
      </c>
      <c s="1853" t="s">
        <v>22</v>
      </c>
      <c s="1853" t="s">
        <v>22</v>
      </c>
      <c s="1853" t="s">
        <v>808</v>
      </c>
    </row>
    <row r="299" spans="1:9" ht="11.25" customHeight="1">
      <c r="A299" s="1853" t="s">
        <v>2247</v>
      </c>
      <c s="1853" t="s">
        <v>16</v>
      </c>
      <c s="1853" t="s">
        <v>3382</v>
      </c>
      <c s="1853" t="s">
        <v>3383</v>
      </c>
      <c s="1853" t="s">
        <v>3384</v>
      </c>
      <c s="1853" t="s">
        <v>2283</v>
      </c>
      <c s="1853" t="s">
        <v>22</v>
      </c>
      <c s="1853" t="s">
        <v>22</v>
      </c>
      <c s="1853" t="s">
        <v>808</v>
      </c>
    </row>
    <row r="300" spans="1:9" ht="11.25" customHeight="1">
      <c r="A300" s="1853" t="s">
        <v>2247</v>
      </c>
      <c s="1853" t="s">
        <v>16</v>
      </c>
      <c s="1853" t="s">
        <v>3385</v>
      </c>
      <c s="1853" t="s">
        <v>3386</v>
      </c>
      <c s="1853" t="s">
        <v>3387</v>
      </c>
      <c s="1853" t="s">
        <v>3388</v>
      </c>
      <c s="1853" t="s">
        <v>3389</v>
      </c>
      <c s="1853" t="s">
        <v>22</v>
      </c>
      <c s="1853" t="s">
        <v>808</v>
      </c>
    </row>
    <row r="301" spans="1:9" ht="11.25" customHeight="1">
      <c r="A301" s="1853" t="s">
        <v>2247</v>
      </c>
      <c s="1853" t="s">
        <v>16</v>
      </c>
      <c s="1853" t="s">
        <v>3390</v>
      </c>
      <c s="1853" t="s">
        <v>3391</v>
      </c>
      <c s="1853" t="s">
        <v>3392</v>
      </c>
      <c s="1853" t="s">
        <v>3393</v>
      </c>
      <c s="1853" t="s">
        <v>22</v>
      </c>
      <c s="1853" t="s">
        <v>22</v>
      </c>
      <c s="1853" t="s">
        <v>808</v>
      </c>
    </row>
    <row r="302" spans="1:9" ht="11.25" customHeight="1">
      <c r="A302" s="1853" t="s">
        <v>2247</v>
      </c>
      <c s="1853" t="s">
        <v>16</v>
      </c>
      <c s="1853" t="s">
        <v>3394</v>
      </c>
      <c s="1853" t="s">
        <v>3395</v>
      </c>
      <c s="1853" t="s">
        <v>3396</v>
      </c>
      <c s="1853" t="s">
        <v>3397</v>
      </c>
      <c s="1853" t="s">
        <v>3398</v>
      </c>
      <c s="1853" t="s">
        <v>22</v>
      </c>
      <c s="1853" t="s">
        <v>808</v>
      </c>
    </row>
    <row r="303" spans="1:9" ht="11.25" customHeight="1">
      <c r="A303" s="1853" t="s">
        <v>2247</v>
      </c>
      <c s="1853" t="s">
        <v>16</v>
      </c>
      <c s="1853" t="s">
        <v>3399</v>
      </c>
      <c s="1853" t="s">
        <v>3400</v>
      </c>
      <c s="1853" t="s">
        <v>3401</v>
      </c>
      <c s="1853" t="s">
        <v>2362</v>
      </c>
      <c s="1853" t="s">
        <v>22</v>
      </c>
      <c s="1853" t="s">
        <v>22</v>
      </c>
      <c s="1853" t="s">
        <v>808</v>
      </c>
    </row>
    <row r="304" spans="1:9" ht="11.25" customHeight="1">
      <c r="A304" s="1853" t="s">
        <v>2247</v>
      </c>
      <c s="1853" t="s">
        <v>16</v>
      </c>
      <c s="1853" t="s">
        <v>3402</v>
      </c>
      <c s="1853" t="s">
        <v>3403</v>
      </c>
      <c s="1853" t="s">
        <v>3404</v>
      </c>
      <c s="1853" t="s">
        <v>51</v>
      </c>
      <c s="1853" t="s">
        <v>3405</v>
      </c>
      <c s="1853" t="s">
        <v>22</v>
      </c>
      <c s="1853" t="s">
        <v>808</v>
      </c>
    </row>
    <row r="305" spans="1:9" ht="11.25" customHeight="1">
      <c r="A305" s="1853" t="s">
        <v>2247</v>
      </c>
      <c s="1853" t="s">
        <v>16</v>
      </c>
      <c s="1853" t="s">
        <v>3406</v>
      </c>
      <c s="1853" t="s">
        <v>3407</v>
      </c>
      <c s="1853" t="s">
        <v>2436</v>
      </c>
      <c s="1853" t="s">
        <v>2412</v>
      </c>
      <c s="1853" t="s">
        <v>2438</v>
      </c>
      <c s="1853" t="s">
        <v>22</v>
      </c>
      <c s="1853" t="s">
        <v>808</v>
      </c>
    </row>
    <row r="306" spans="1:9" ht="11.25" customHeight="1">
      <c r="A306" s="1853" t="s">
        <v>2247</v>
      </c>
      <c s="1853" t="s">
        <v>16</v>
      </c>
      <c s="1853" t="s">
        <v>3408</v>
      </c>
      <c s="1853" t="s">
        <v>3409</v>
      </c>
      <c s="1853" t="s">
        <v>3410</v>
      </c>
      <c s="1853" t="s">
        <v>2335</v>
      </c>
      <c s="1853" t="s">
        <v>22</v>
      </c>
      <c s="1853" t="s">
        <v>22</v>
      </c>
      <c s="1853" t="s">
        <v>808</v>
      </c>
    </row>
    <row r="307" spans="1:9" ht="11.25" customHeight="1">
      <c r="A307" s="1853" t="s">
        <v>2247</v>
      </c>
      <c s="1853" t="s">
        <v>16</v>
      </c>
      <c s="1853" t="s">
        <v>3411</v>
      </c>
      <c s="1853" t="s">
        <v>3412</v>
      </c>
      <c s="1853" t="s">
        <v>3413</v>
      </c>
      <c s="1853" t="s">
        <v>2395</v>
      </c>
      <c s="1853" t="s">
        <v>3414</v>
      </c>
      <c s="1853" t="s">
        <v>22</v>
      </c>
      <c s="1853" t="s">
        <v>808</v>
      </c>
    </row>
    <row r="308" spans="1:9" ht="11.25" customHeight="1">
      <c r="A308" s="1853" t="s">
        <v>2247</v>
      </c>
      <c s="1853" t="s">
        <v>16</v>
      </c>
      <c s="1853" t="s">
        <v>3415</v>
      </c>
      <c s="1853" t="s">
        <v>3416</v>
      </c>
      <c s="1853" t="s">
        <v>3417</v>
      </c>
      <c s="1853" t="s">
        <v>51</v>
      </c>
      <c s="1853" t="s">
        <v>3418</v>
      </c>
      <c s="1853" t="s">
        <v>22</v>
      </c>
      <c s="1853" t="s">
        <v>808</v>
      </c>
    </row>
    <row r="309" spans="1:9" ht="11.25" customHeight="1">
      <c r="A309" s="1853" t="s">
        <v>2247</v>
      </c>
      <c s="1853" t="s">
        <v>16</v>
      </c>
      <c s="1853" t="s">
        <v>3419</v>
      </c>
      <c s="1853" t="s">
        <v>3420</v>
      </c>
      <c s="1853" t="s">
        <v>3421</v>
      </c>
      <c s="1853" t="s">
        <v>2395</v>
      </c>
      <c s="1853" t="s">
        <v>2469</v>
      </c>
      <c s="1853" t="s">
        <v>22</v>
      </c>
      <c s="1853" t="s">
        <v>808</v>
      </c>
    </row>
    <row r="310" spans="1:9" ht="11.25" customHeight="1">
      <c r="A310" s="1853" t="s">
        <v>2247</v>
      </c>
      <c s="1853" t="s">
        <v>16</v>
      </c>
      <c s="1853" t="s">
        <v>3422</v>
      </c>
      <c s="1853" t="s">
        <v>3423</v>
      </c>
      <c s="1853" t="s">
        <v>3424</v>
      </c>
      <c s="1853" t="s">
        <v>51</v>
      </c>
      <c s="1853" t="s">
        <v>22</v>
      </c>
      <c s="1853" t="s">
        <v>22</v>
      </c>
      <c s="1853" t="s">
        <v>808</v>
      </c>
    </row>
    <row r="311" spans="1:9" ht="11.25" customHeight="1">
      <c r="A311" s="1853" t="s">
        <v>2247</v>
      </c>
      <c s="1853" t="s">
        <v>16</v>
      </c>
      <c s="1853" t="s">
        <v>3425</v>
      </c>
      <c s="1853" t="s">
        <v>3426</v>
      </c>
      <c s="1853" t="s">
        <v>3427</v>
      </c>
      <c s="1853" t="s">
        <v>2290</v>
      </c>
      <c s="1853" t="s">
        <v>22</v>
      </c>
      <c s="1853" t="s">
        <v>22</v>
      </c>
      <c s="1853" t="s">
        <v>808</v>
      </c>
    </row>
    <row r="312" spans="1:9" ht="11.25" customHeight="1">
      <c r="A312" s="1853" t="s">
        <v>2247</v>
      </c>
      <c s="1853" t="s">
        <v>16</v>
      </c>
      <c s="1853" t="s">
        <v>3428</v>
      </c>
      <c s="1853" t="s">
        <v>3429</v>
      </c>
      <c s="1853" t="s">
        <v>3430</v>
      </c>
      <c s="1853" t="s">
        <v>2301</v>
      </c>
      <c s="1853" t="s">
        <v>22</v>
      </c>
      <c s="1853" t="s">
        <v>22</v>
      </c>
      <c s="1853" t="s">
        <v>808</v>
      </c>
    </row>
    <row r="313" spans="1:9" ht="11.25" customHeight="1">
      <c r="A313" s="1853" t="s">
        <v>2247</v>
      </c>
      <c s="1853" t="s">
        <v>16</v>
      </c>
      <c s="1853" t="s">
        <v>3431</v>
      </c>
      <c s="1853" t="s">
        <v>3432</v>
      </c>
      <c s="1853" t="s">
        <v>3433</v>
      </c>
      <c s="1853" t="s">
        <v>2370</v>
      </c>
      <c s="1853" t="s">
        <v>22</v>
      </c>
      <c s="1853" t="s">
        <v>22</v>
      </c>
      <c s="1853" t="s">
        <v>808</v>
      </c>
    </row>
    <row r="314" spans="1:9" ht="11.25" customHeight="1">
      <c r="A314" s="1853" t="s">
        <v>2247</v>
      </c>
      <c s="1853" t="s">
        <v>16</v>
      </c>
      <c s="1853" t="s">
        <v>3434</v>
      </c>
      <c s="1853" t="s">
        <v>3435</v>
      </c>
      <c s="1853" t="s">
        <v>3436</v>
      </c>
      <c s="1853" t="s">
        <v>3437</v>
      </c>
      <c s="1853" t="s">
        <v>22</v>
      </c>
      <c s="1853" t="s">
        <v>22</v>
      </c>
      <c s="1853" t="s">
        <v>808</v>
      </c>
    </row>
    <row r="315" spans="1:9" ht="11.25" customHeight="1">
      <c r="A315" s="1853" t="s">
        <v>2247</v>
      </c>
      <c s="1853" t="s">
        <v>16</v>
      </c>
      <c s="1853" t="s">
        <v>3438</v>
      </c>
      <c s="1853" t="s">
        <v>3439</v>
      </c>
      <c s="1853" t="s">
        <v>3440</v>
      </c>
      <c s="1853" t="s">
        <v>2362</v>
      </c>
      <c s="1853" t="s">
        <v>3441</v>
      </c>
      <c s="1853" t="s">
        <v>22</v>
      </c>
      <c s="1853" t="s">
        <v>808</v>
      </c>
    </row>
    <row r="316" spans="1:9" ht="11.25" customHeight="1">
      <c r="A316" s="1853" t="s">
        <v>2247</v>
      </c>
      <c s="1853" t="s">
        <v>16</v>
      </c>
      <c s="1853" t="s">
        <v>3442</v>
      </c>
      <c s="1853" t="s">
        <v>3443</v>
      </c>
      <c s="1853" t="s">
        <v>3444</v>
      </c>
      <c s="1853" t="s">
        <v>2391</v>
      </c>
      <c s="1853" t="s">
        <v>3445</v>
      </c>
      <c s="1853" t="s">
        <v>22</v>
      </c>
      <c s="1853" t="s">
        <v>808</v>
      </c>
    </row>
    <row r="317" spans="1:9" ht="11.25" customHeight="1">
      <c r="A317" s="1853" t="s">
        <v>2247</v>
      </c>
      <c s="1853" t="s">
        <v>16</v>
      </c>
      <c s="1853" t="s">
        <v>3446</v>
      </c>
      <c s="1853" t="s">
        <v>3447</v>
      </c>
      <c s="1853" t="s">
        <v>3448</v>
      </c>
      <c s="1853" t="s">
        <v>2370</v>
      </c>
      <c s="1853" t="s">
        <v>22</v>
      </c>
      <c s="1853" t="s">
        <v>22</v>
      </c>
      <c s="1853" t="s">
        <v>808</v>
      </c>
    </row>
    <row r="318" spans="1:9" ht="11.25" customHeight="1">
      <c r="A318" s="1853" t="s">
        <v>2247</v>
      </c>
      <c s="1853" t="s">
        <v>16</v>
      </c>
      <c s="1853" t="s">
        <v>3449</v>
      </c>
      <c s="1853" t="s">
        <v>3450</v>
      </c>
      <c s="1853" t="s">
        <v>3451</v>
      </c>
      <c s="1853" t="s">
        <v>2395</v>
      </c>
      <c s="1853" t="s">
        <v>3452</v>
      </c>
      <c s="1853" t="s">
        <v>22</v>
      </c>
      <c s="1853" t="s">
        <v>808</v>
      </c>
    </row>
    <row r="319" spans="1:9" ht="11.25" customHeight="1">
      <c r="A319" s="1853" t="s">
        <v>2247</v>
      </c>
      <c s="1853" t="s">
        <v>16</v>
      </c>
      <c s="1853" t="s">
        <v>3453</v>
      </c>
      <c s="1853" t="s">
        <v>3454</v>
      </c>
      <c s="1853" t="s">
        <v>3455</v>
      </c>
      <c s="1853" t="s">
        <v>51</v>
      </c>
      <c s="1853" t="s">
        <v>3456</v>
      </c>
      <c s="1853" t="s">
        <v>22</v>
      </c>
      <c s="1853" t="s">
        <v>808</v>
      </c>
    </row>
    <row r="320" spans="1:9" ht="11.25" customHeight="1">
      <c r="A320" s="1853" t="s">
        <v>2247</v>
      </c>
      <c s="1853" t="s">
        <v>16</v>
      </c>
      <c s="1853" t="s">
        <v>3457</v>
      </c>
      <c s="1853" t="s">
        <v>3458</v>
      </c>
      <c s="1853" t="s">
        <v>3459</v>
      </c>
      <c s="1853" t="s">
        <v>2499</v>
      </c>
      <c s="1853" t="s">
        <v>3460</v>
      </c>
      <c s="1853" t="s">
        <v>22</v>
      </c>
      <c s="1853" t="s">
        <v>808</v>
      </c>
    </row>
    <row r="321" spans="1:9" ht="11.25" customHeight="1">
      <c r="A321" s="1853" t="s">
        <v>2247</v>
      </c>
      <c s="1853" t="s">
        <v>16</v>
      </c>
      <c s="1853" t="s">
        <v>3461</v>
      </c>
      <c s="1853" t="s">
        <v>3462</v>
      </c>
      <c s="1853" t="s">
        <v>3463</v>
      </c>
      <c s="1853" t="s">
        <v>2362</v>
      </c>
      <c s="1853" t="s">
        <v>22</v>
      </c>
      <c s="1853" t="s">
        <v>22</v>
      </c>
      <c s="1853" t="s">
        <v>808</v>
      </c>
    </row>
    <row r="322" spans="1:9" ht="11.25" customHeight="1">
      <c r="A322" s="1853" t="s">
        <v>2247</v>
      </c>
      <c s="1853" t="s">
        <v>16</v>
      </c>
      <c s="1853" t="s">
        <v>3464</v>
      </c>
      <c s="1853" t="s">
        <v>3465</v>
      </c>
      <c s="1853" t="s">
        <v>3466</v>
      </c>
      <c s="1853" t="s">
        <v>2348</v>
      </c>
      <c s="1853" t="s">
        <v>22</v>
      </c>
      <c s="1853" t="s">
        <v>22</v>
      </c>
      <c s="1853" t="s">
        <v>808</v>
      </c>
    </row>
    <row r="323" spans="1:9" ht="11.25" customHeight="1">
      <c r="A323" s="1853" t="s">
        <v>2247</v>
      </c>
      <c s="1853" t="s">
        <v>16</v>
      </c>
      <c s="1853" t="s">
        <v>3467</v>
      </c>
      <c s="1853" t="s">
        <v>3468</v>
      </c>
      <c s="1853" t="s">
        <v>3469</v>
      </c>
      <c s="1853" t="s">
        <v>2362</v>
      </c>
      <c s="1853" t="s">
        <v>22</v>
      </c>
      <c s="1853" t="s">
        <v>22</v>
      </c>
      <c s="1853" t="s">
        <v>808</v>
      </c>
    </row>
    <row r="324" spans="1:9" ht="11.25" customHeight="1">
      <c r="A324" s="1853" t="s">
        <v>2247</v>
      </c>
      <c s="1853" t="s">
        <v>16</v>
      </c>
      <c s="1853" t="s">
        <v>3470</v>
      </c>
      <c s="1853" t="s">
        <v>3471</v>
      </c>
      <c s="1853" t="s">
        <v>3472</v>
      </c>
      <c s="1853" t="s">
        <v>2362</v>
      </c>
      <c s="1853" t="s">
        <v>22</v>
      </c>
      <c s="1853" t="s">
        <v>22</v>
      </c>
      <c s="1853" t="s">
        <v>808</v>
      </c>
    </row>
    <row r="325" spans="1:9" ht="11.25" customHeight="1">
      <c r="A325" s="1853" t="s">
        <v>2247</v>
      </c>
      <c s="1853" t="s">
        <v>16</v>
      </c>
      <c s="1853" t="s">
        <v>3473</v>
      </c>
      <c s="1853" t="s">
        <v>3474</v>
      </c>
      <c s="1853" t="s">
        <v>3475</v>
      </c>
      <c s="1853" t="s">
        <v>2395</v>
      </c>
      <c s="1853" t="s">
        <v>3476</v>
      </c>
      <c s="1853" t="s">
        <v>22</v>
      </c>
      <c s="1853" t="s">
        <v>808</v>
      </c>
    </row>
    <row r="326" spans="1:9" ht="11.25" customHeight="1">
      <c r="A326" s="1853" t="s">
        <v>2247</v>
      </c>
      <c s="1853" t="s">
        <v>16</v>
      </c>
      <c s="1853" t="s">
        <v>3477</v>
      </c>
      <c s="1853" t="s">
        <v>3478</v>
      </c>
      <c s="1853" t="s">
        <v>2849</v>
      </c>
      <c s="1853" t="s">
        <v>2412</v>
      </c>
      <c s="1853" t="s">
        <v>3479</v>
      </c>
      <c s="1853" t="s">
        <v>22</v>
      </c>
      <c s="1853" t="s">
        <v>808</v>
      </c>
    </row>
    <row r="327" spans="1:9" ht="11.25" customHeight="1">
      <c r="A327" s="1853" t="s">
        <v>2247</v>
      </c>
      <c s="1853" t="s">
        <v>16</v>
      </c>
      <c s="1853" t="s">
        <v>3480</v>
      </c>
      <c s="1853" t="s">
        <v>3481</v>
      </c>
      <c s="1853" t="s">
        <v>3095</v>
      </c>
      <c s="1853" t="s">
        <v>3482</v>
      </c>
      <c s="1853" t="s">
        <v>3483</v>
      </c>
      <c s="1853" t="s">
        <v>22</v>
      </c>
      <c s="1853" t="s">
        <v>808</v>
      </c>
    </row>
    <row r="328" spans="1:9" ht="11.25" customHeight="1">
      <c r="A328" s="1853" t="s">
        <v>2247</v>
      </c>
      <c s="1853" t="s">
        <v>16</v>
      </c>
      <c s="1853" t="s">
        <v>3484</v>
      </c>
      <c s="1853" t="s">
        <v>3485</v>
      </c>
      <c s="1853" t="s">
        <v>2849</v>
      </c>
      <c s="1853" t="s">
        <v>3486</v>
      </c>
      <c s="1853" t="s">
        <v>3487</v>
      </c>
      <c s="1853" t="s">
        <v>22</v>
      </c>
      <c s="1853" t="s">
        <v>808</v>
      </c>
    </row>
    <row r="329" spans="1:9" ht="11.25" customHeight="1">
      <c r="A329" s="1853" t="s">
        <v>2247</v>
      </c>
      <c s="1853" t="s">
        <v>16</v>
      </c>
      <c s="1853" t="s">
        <v>3488</v>
      </c>
      <c s="1853" t="s">
        <v>3489</v>
      </c>
      <c s="1853" t="s">
        <v>3264</v>
      </c>
      <c s="1853" t="s">
        <v>3486</v>
      </c>
      <c s="1853" t="s">
        <v>3490</v>
      </c>
      <c s="1853" t="s">
        <v>22</v>
      </c>
      <c s="1853" t="s">
        <v>808</v>
      </c>
    </row>
    <row r="330" spans="1:9" ht="11.25" customHeight="1">
      <c r="A330" s="1853" t="s">
        <v>2247</v>
      </c>
      <c s="1853" t="s">
        <v>16</v>
      </c>
      <c s="1853" t="s">
        <v>3491</v>
      </c>
      <c s="1853" t="s">
        <v>3492</v>
      </c>
      <c s="1853" t="s">
        <v>3366</v>
      </c>
      <c s="1853" t="s">
        <v>2328</v>
      </c>
      <c s="1853" t="s">
        <v>22</v>
      </c>
      <c s="1853" t="s">
        <v>22</v>
      </c>
      <c s="1853" t="s">
        <v>808</v>
      </c>
    </row>
    <row r="331" spans="1:9" ht="11.25" customHeight="1">
      <c r="A331" s="1853" t="s">
        <v>2247</v>
      </c>
      <c s="1853" t="s">
        <v>16</v>
      </c>
      <c s="1853" t="s">
        <v>3493</v>
      </c>
      <c s="1853" t="s">
        <v>3494</v>
      </c>
      <c s="1853" t="s">
        <v>3495</v>
      </c>
      <c s="1853" t="s">
        <v>3496</v>
      </c>
      <c s="1853" t="s">
        <v>22</v>
      </c>
      <c s="1853" t="s">
        <v>22</v>
      </c>
      <c s="1853" t="s">
        <v>808</v>
      </c>
    </row>
    <row r="332" spans="1:9" ht="11.25" customHeight="1">
      <c r="A332" s="1853" t="s">
        <v>2247</v>
      </c>
      <c s="1853" t="s">
        <v>16</v>
      </c>
      <c s="1853" t="s">
        <v>3497</v>
      </c>
      <c s="1853" t="s">
        <v>3498</v>
      </c>
      <c s="1853" t="s">
        <v>3499</v>
      </c>
      <c s="1853" t="s">
        <v>3500</v>
      </c>
      <c s="1853" t="s">
        <v>3501</v>
      </c>
      <c s="1853" t="s">
        <v>22</v>
      </c>
      <c s="1853" t="s">
        <v>808</v>
      </c>
    </row>
    <row r="333" spans="1:9" ht="11.25" customHeight="1">
      <c r="A333" s="1853" t="s">
        <v>2247</v>
      </c>
      <c s="1853" t="s">
        <v>16</v>
      </c>
      <c s="1853" t="s">
        <v>3502</v>
      </c>
      <c s="1853" t="s">
        <v>3503</v>
      </c>
      <c s="1853" t="s">
        <v>3499</v>
      </c>
      <c s="1853" t="s">
        <v>2543</v>
      </c>
      <c s="1853" t="s">
        <v>22</v>
      </c>
      <c s="1853" t="s">
        <v>22</v>
      </c>
      <c s="1853" t="s">
        <v>808</v>
      </c>
    </row>
    <row r="334" spans="1:9" ht="11.25" customHeight="1">
      <c r="A334" s="1853" t="s">
        <v>2247</v>
      </c>
      <c s="1853" t="s">
        <v>16</v>
      </c>
      <c s="1853" t="s">
        <v>3504</v>
      </c>
      <c s="1853" t="s">
        <v>3505</v>
      </c>
      <c s="1853" t="s">
        <v>3499</v>
      </c>
      <c s="1853" t="s">
        <v>3506</v>
      </c>
      <c s="1853" t="s">
        <v>3507</v>
      </c>
      <c s="1853" t="s">
        <v>22</v>
      </c>
      <c s="1853" t="s">
        <v>808</v>
      </c>
    </row>
    <row r="335" spans="1:9" ht="11.25" customHeight="1">
      <c r="A335" s="1853" t="s">
        <v>2247</v>
      </c>
      <c s="1853" t="s">
        <v>16</v>
      </c>
      <c s="1853" t="s">
        <v>3508</v>
      </c>
      <c s="1853" t="s">
        <v>3509</v>
      </c>
      <c s="1853" t="s">
        <v>2409</v>
      </c>
      <c s="1853" t="s">
        <v>2680</v>
      </c>
      <c s="1853" t="s">
        <v>22</v>
      </c>
      <c s="1853" t="s">
        <v>22</v>
      </c>
      <c s="1853" t="s">
        <v>808</v>
      </c>
    </row>
    <row r="336" spans="1:9" ht="11.25" customHeight="1">
      <c r="A336" s="1853" t="s">
        <v>2247</v>
      </c>
      <c s="1853" t="s">
        <v>16</v>
      </c>
      <c s="1853" t="s">
        <v>3510</v>
      </c>
      <c s="1853" t="s">
        <v>3511</v>
      </c>
      <c s="1853" t="s">
        <v>2409</v>
      </c>
      <c s="1853" t="s">
        <v>3512</v>
      </c>
      <c s="1853" t="s">
        <v>22</v>
      </c>
      <c s="1853" t="s">
        <v>22</v>
      </c>
      <c s="1853" t="s">
        <v>808</v>
      </c>
    </row>
    <row r="337" spans="1:9" ht="11.25" customHeight="1">
      <c r="A337" s="1853" t="s">
        <v>2247</v>
      </c>
      <c s="1853" t="s">
        <v>16</v>
      </c>
      <c s="1853" t="s">
        <v>3513</v>
      </c>
      <c s="1853" t="s">
        <v>3514</v>
      </c>
      <c s="1853" t="s">
        <v>3515</v>
      </c>
      <c s="1853" t="s">
        <v>3516</v>
      </c>
      <c s="1853" t="s">
        <v>3517</v>
      </c>
      <c s="1853" t="s">
        <v>22</v>
      </c>
      <c s="1853" t="s">
        <v>808</v>
      </c>
    </row>
    <row r="338" spans="1:9" ht="11.25" customHeight="1">
      <c r="A338" s="1853" t="s">
        <v>2247</v>
      </c>
      <c s="1853" t="s">
        <v>16</v>
      </c>
      <c s="1853" t="s">
        <v>3518</v>
      </c>
      <c s="1853" t="s">
        <v>3519</v>
      </c>
      <c s="1853" t="s">
        <v>2937</v>
      </c>
      <c s="1853" t="s">
        <v>3520</v>
      </c>
      <c s="1853" t="s">
        <v>22</v>
      </c>
      <c s="1853" t="s">
        <v>22</v>
      </c>
      <c s="1853" t="s">
        <v>808</v>
      </c>
    </row>
    <row r="339" spans="1:9" ht="11.25" customHeight="1">
      <c r="A339" s="1853" t="s">
        <v>2247</v>
      </c>
      <c s="1853" t="s">
        <v>16</v>
      </c>
      <c s="1853" t="s">
        <v>3521</v>
      </c>
      <c s="1853" t="s">
        <v>3522</v>
      </c>
      <c s="1853" t="s">
        <v>2995</v>
      </c>
      <c s="1853" t="s">
        <v>2432</v>
      </c>
      <c s="1853" t="s">
        <v>3523</v>
      </c>
      <c s="1853" t="s">
        <v>22</v>
      </c>
      <c s="1853" t="s">
        <v>808</v>
      </c>
    </row>
    <row r="340" spans="1:9" ht="11.25" customHeight="1">
      <c r="A340" s="1853" t="s">
        <v>2247</v>
      </c>
      <c s="1853" t="s">
        <v>16</v>
      </c>
      <c s="1853" t="s">
        <v>3524</v>
      </c>
      <c s="1853" t="s">
        <v>3525</v>
      </c>
      <c s="1853" t="s">
        <v>2995</v>
      </c>
      <c s="1853" t="s">
        <v>3526</v>
      </c>
      <c s="1853" t="s">
        <v>3527</v>
      </c>
      <c s="1853" t="s">
        <v>22</v>
      </c>
      <c s="1853" t="s">
        <v>808</v>
      </c>
    </row>
    <row r="341" spans="1:9" ht="11.25" customHeight="1">
      <c r="A341" s="1853" t="s">
        <v>2247</v>
      </c>
      <c s="1853" t="s">
        <v>16</v>
      </c>
      <c s="1853" t="s">
        <v>3528</v>
      </c>
      <c s="1853" t="s">
        <v>3529</v>
      </c>
      <c s="1853" t="s">
        <v>3530</v>
      </c>
      <c s="1853" t="s">
        <v>3531</v>
      </c>
      <c s="1853" t="s">
        <v>22</v>
      </c>
      <c s="1853" t="s">
        <v>22</v>
      </c>
      <c s="1853" t="s">
        <v>808</v>
      </c>
    </row>
    <row r="342" spans="1:9" ht="11.25" customHeight="1">
      <c r="A342" s="1853" t="s">
        <v>2247</v>
      </c>
      <c s="1853" t="s">
        <v>16</v>
      </c>
      <c s="1853" t="s">
        <v>3532</v>
      </c>
      <c s="1853" t="s">
        <v>3533</v>
      </c>
      <c s="1853" t="s">
        <v>3264</v>
      </c>
      <c s="1853" t="s">
        <v>3534</v>
      </c>
      <c s="1853" t="s">
        <v>3266</v>
      </c>
      <c s="1853" t="s">
        <v>22</v>
      </c>
      <c s="1853" t="s">
        <v>808</v>
      </c>
    </row>
    <row r="343" spans="1:9" ht="11.25" customHeight="1">
      <c r="A343" s="1853" t="s">
        <v>2247</v>
      </c>
      <c s="1853" t="s">
        <v>16</v>
      </c>
      <c s="1853" t="s">
        <v>3535</v>
      </c>
      <c s="1853" t="s">
        <v>3536</v>
      </c>
      <c s="1853" t="s">
        <v>2849</v>
      </c>
      <c s="1853" t="s">
        <v>2355</v>
      </c>
      <c s="1853" t="s">
        <v>22</v>
      </c>
      <c s="1853" t="s">
        <v>22</v>
      </c>
      <c s="1853" t="s">
        <v>808</v>
      </c>
    </row>
    <row r="344" spans="1:9" ht="11.25" customHeight="1">
      <c r="A344" s="1853" t="s">
        <v>2247</v>
      </c>
      <c s="1853" t="s">
        <v>16</v>
      </c>
      <c s="1853" t="s">
        <v>3537</v>
      </c>
      <c s="1853" t="s">
        <v>3538</v>
      </c>
      <c s="1853" t="s">
        <v>2286</v>
      </c>
      <c s="1853" t="s">
        <v>3539</v>
      </c>
      <c s="1853" t="s">
        <v>22</v>
      </c>
      <c s="1853" t="s">
        <v>22</v>
      </c>
      <c s="1853" t="s">
        <v>808</v>
      </c>
    </row>
    <row r="345" spans="1:9" ht="11.25" customHeight="1">
      <c r="A345" s="1853" t="s">
        <v>2247</v>
      </c>
      <c s="1853" t="s">
        <v>16</v>
      </c>
      <c s="1853" t="s">
        <v>3540</v>
      </c>
      <c s="1853" t="s">
        <v>3541</v>
      </c>
      <c s="1853" t="s">
        <v>3499</v>
      </c>
      <c s="1853" t="s">
        <v>2783</v>
      </c>
      <c s="1853" t="s">
        <v>22</v>
      </c>
      <c s="1853" t="s">
        <v>22</v>
      </c>
      <c s="1853" t="s">
        <v>808</v>
      </c>
    </row>
    <row r="346" spans="1:9" ht="11.25" customHeight="1">
      <c r="A346" s="1853" t="s">
        <v>2247</v>
      </c>
      <c s="1853" t="s">
        <v>16</v>
      </c>
      <c s="1853" t="s">
        <v>3542</v>
      </c>
      <c s="1853" t="s">
        <v>3543</v>
      </c>
      <c s="1853" t="s">
        <v>3499</v>
      </c>
      <c s="1853" t="s">
        <v>3544</v>
      </c>
      <c s="1853" t="s">
        <v>3545</v>
      </c>
      <c s="1853" t="s">
        <v>22</v>
      </c>
      <c s="1853" t="s">
        <v>808</v>
      </c>
    </row>
    <row r="347" spans="1:9" ht="11.25" customHeight="1">
      <c r="A347" s="1853" t="s">
        <v>2247</v>
      </c>
      <c s="1853" t="s">
        <v>16</v>
      </c>
      <c s="1853" t="s">
        <v>3546</v>
      </c>
      <c s="1853" t="s">
        <v>3547</v>
      </c>
      <c s="1853" t="s">
        <v>2358</v>
      </c>
      <c s="1853" t="s">
        <v>2786</v>
      </c>
      <c s="1853" t="s">
        <v>22</v>
      </c>
      <c s="1853" t="s">
        <v>22</v>
      </c>
      <c s="1853" t="s">
        <v>808</v>
      </c>
    </row>
    <row r="348" spans="1:9" ht="11.25" customHeight="1">
      <c r="A348" s="1853" t="s">
        <v>2247</v>
      </c>
      <c s="1853" t="s">
        <v>16</v>
      </c>
      <c s="1853" t="s">
        <v>3548</v>
      </c>
      <c s="1853" t="s">
        <v>3549</v>
      </c>
      <c s="1853" t="s">
        <v>2995</v>
      </c>
      <c s="1853" t="s">
        <v>2437</v>
      </c>
      <c s="1853" t="s">
        <v>3550</v>
      </c>
      <c s="1853" t="s">
        <v>22</v>
      </c>
      <c s="1853" t="s">
        <v>808</v>
      </c>
    </row>
    <row r="349" spans="1:9" ht="11.25" customHeight="1">
      <c r="A349" s="1853" t="s">
        <v>2247</v>
      </c>
      <c s="1853" t="s">
        <v>16</v>
      </c>
      <c s="1853" t="s">
        <v>3551</v>
      </c>
      <c s="1853" t="s">
        <v>3552</v>
      </c>
      <c s="1853" t="s">
        <v>3553</v>
      </c>
      <c s="1853" t="s">
        <v>3554</v>
      </c>
      <c s="1853" t="s">
        <v>3555</v>
      </c>
      <c s="1853" t="s">
        <v>22</v>
      </c>
      <c s="1853" t="s">
        <v>808</v>
      </c>
    </row>
    <row r="350" spans="1:9" ht="11.25" customHeight="1">
      <c r="A350" s="1853" t="s">
        <v>2247</v>
      </c>
      <c s="1853" t="s">
        <v>16</v>
      </c>
      <c s="1853" t="s">
        <v>3556</v>
      </c>
      <c s="1853" t="s">
        <v>3557</v>
      </c>
      <c s="1853" t="s">
        <v>3558</v>
      </c>
      <c s="1853" t="s">
        <v>2838</v>
      </c>
      <c s="1853" t="s">
        <v>22</v>
      </c>
      <c s="1853" t="s">
        <v>22</v>
      </c>
      <c s="1853" t="s">
        <v>808</v>
      </c>
    </row>
    <row r="351" spans="1:9" ht="11.25" customHeight="1">
      <c r="A351" s="1853" t="s">
        <v>2247</v>
      </c>
      <c s="1853" t="s">
        <v>16</v>
      </c>
      <c s="1853" t="s">
        <v>2257</v>
      </c>
      <c s="1853" t="s">
        <v>2258</v>
      </c>
      <c s="1853" t="s">
        <v>2259</v>
      </c>
      <c s="1853" t="s">
        <v>2260</v>
      </c>
      <c s="1853" t="s">
        <v>2261</v>
      </c>
      <c s="1853" t="s">
        <v>22</v>
      </c>
      <c s="1853" t="s">
        <v>894</v>
      </c>
    </row>
    <row r="352" spans="1:9" ht="11.25" customHeight="1">
      <c r="A352" s="1853" t="s">
        <v>2247</v>
      </c>
      <c s="1853" t="s">
        <v>16</v>
      </c>
      <c s="1853" t="s">
        <v>2276</v>
      </c>
      <c s="1853" t="s">
        <v>2277</v>
      </c>
      <c s="1853" t="s">
        <v>2278</v>
      </c>
      <c s="1853" t="s">
        <v>2279</v>
      </c>
      <c s="1853" t="s">
        <v>22</v>
      </c>
      <c s="1853" t="s">
        <v>22</v>
      </c>
      <c s="1853" t="s">
        <v>894</v>
      </c>
    </row>
    <row r="353" spans="1:9" ht="11.25" customHeight="1">
      <c r="A353" s="1853" t="s">
        <v>2247</v>
      </c>
      <c s="1853" t="s">
        <v>16</v>
      </c>
      <c s="1853" t="s">
        <v>2298</v>
      </c>
      <c s="1853" t="s">
        <v>2299</v>
      </c>
      <c s="1853" t="s">
        <v>2300</v>
      </c>
      <c s="1853" t="s">
        <v>2301</v>
      </c>
      <c s="1853" t="s">
        <v>22</v>
      </c>
      <c s="1853" t="s">
        <v>22</v>
      </c>
      <c s="1853" t="s">
        <v>894</v>
      </c>
    </row>
    <row r="354" spans="1:9" ht="11.25" customHeight="1">
      <c r="A354" s="1853" t="s">
        <v>2247</v>
      </c>
      <c s="1853" t="s">
        <v>16</v>
      </c>
      <c s="1853" t="s">
        <v>2302</v>
      </c>
      <c s="1853" t="s">
        <v>2303</v>
      </c>
      <c s="1853" t="s">
        <v>2304</v>
      </c>
      <c s="1853" t="s">
        <v>2290</v>
      </c>
      <c s="1853" t="s">
        <v>22</v>
      </c>
      <c s="1853" t="s">
        <v>22</v>
      </c>
      <c s="1853" t="s">
        <v>894</v>
      </c>
    </row>
    <row r="355" spans="1:9" ht="11.25" customHeight="1">
      <c r="A355" s="1853" t="s">
        <v>2247</v>
      </c>
      <c s="1853" t="s">
        <v>16</v>
      </c>
      <c s="1853" t="s">
        <v>2305</v>
      </c>
      <c s="1853" t="s">
        <v>2306</v>
      </c>
      <c s="1853" t="s">
        <v>2307</v>
      </c>
      <c s="1853" t="s">
        <v>2251</v>
      </c>
      <c s="1853" t="s">
        <v>2308</v>
      </c>
      <c s="1853" t="s">
        <v>22</v>
      </c>
      <c s="1853" t="s">
        <v>894</v>
      </c>
    </row>
    <row r="356" spans="1:9" ht="11.25" customHeight="1">
      <c r="A356" s="1853" t="s">
        <v>2247</v>
      </c>
      <c s="1853" t="s">
        <v>16</v>
      </c>
      <c s="1853" t="s">
        <v>2309</v>
      </c>
      <c s="1853" t="s">
        <v>2310</v>
      </c>
      <c s="1853" t="s">
        <v>2311</v>
      </c>
      <c s="1853" t="s">
        <v>2270</v>
      </c>
      <c s="1853" t="s">
        <v>22</v>
      </c>
      <c s="1853" t="s">
        <v>22</v>
      </c>
      <c s="1853" t="s">
        <v>894</v>
      </c>
    </row>
    <row r="357" spans="1:9" ht="11.25" customHeight="1">
      <c r="A357" s="1853" t="s">
        <v>2247</v>
      </c>
      <c s="1853" t="s">
        <v>16</v>
      </c>
      <c s="1853" t="s">
        <v>2345</v>
      </c>
      <c s="1853" t="s">
        <v>2346</v>
      </c>
      <c s="1853" t="s">
        <v>2347</v>
      </c>
      <c s="1853" t="s">
        <v>2348</v>
      </c>
      <c s="1853" t="s">
        <v>22</v>
      </c>
      <c s="1853" t="s">
        <v>22</v>
      </c>
      <c s="1853" t="s">
        <v>894</v>
      </c>
    </row>
    <row r="358" spans="1:9" ht="11.25" customHeight="1">
      <c r="A358" s="1853" t="s">
        <v>2247</v>
      </c>
      <c s="1853" t="s">
        <v>16</v>
      </c>
      <c s="1853" t="s">
        <v>2349</v>
      </c>
      <c s="1853" t="s">
        <v>2350</v>
      </c>
      <c s="1853" t="s">
        <v>2351</v>
      </c>
      <c s="1853" t="s">
        <v>2328</v>
      </c>
      <c s="1853" t="s">
        <v>22</v>
      </c>
      <c s="1853" t="s">
        <v>22</v>
      </c>
      <c s="1853" t="s">
        <v>894</v>
      </c>
    </row>
    <row r="359" spans="1:9" ht="11.25" customHeight="1">
      <c r="A359" s="1853" t="s">
        <v>2247</v>
      </c>
      <c s="1853" t="s">
        <v>16</v>
      </c>
      <c s="1853" t="s">
        <v>2356</v>
      </c>
      <c s="1853" t="s">
        <v>2357</v>
      </c>
      <c s="1853" t="s">
        <v>2358</v>
      </c>
      <c s="1853" t="s">
        <v>2290</v>
      </c>
      <c s="1853" t="s">
        <v>22</v>
      </c>
      <c s="1853" t="s">
        <v>22</v>
      </c>
      <c s="1853" t="s">
        <v>894</v>
      </c>
    </row>
    <row r="360" spans="1:9" ht="11.25" customHeight="1">
      <c r="A360" s="1853" t="s">
        <v>2247</v>
      </c>
      <c s="1853" t="s">
        <v>16</v>
      </c>
      <c s="1853" t="s">
        <v>2359</v>
      </c>
      <c s="1853" t="s">
        <v>2360</v>
      </c>
      <c s="1853" t="s">
        <v>2361</v>
      </c>
      <c s="1853" t="s">
        <v>2362</v>
      </c>
      <c s="1853" t="s">
        <v>2363</v>
      </c>
      <c s="1853" t="s">
        <v>22</v>
      </c>
      <c s="1853" t="s">
        <v>894</v>
      </c>
    </row>
    <row r="361" spans="1:9" ht="11.25" customHeight="1">
      <c r="A361" s="1853" t="s">
        <v>2247</v>
      </c>
      <c s="1853" t="s">
        <v>16</v>
      </c>
      <c s="1853" t="s">
        <v>2367</v>
      </c>
      <c s="1853" t="s">
        <v>2368</v>
      </c>
      <c s="1853" t="s">
        <v>2369</v>
      </c>
      <c s="1853" t="s">
        <v>2370</v>
      </c>
      <c s="1853" t="s">
        <v>22</v>
      </c>
      <c s="1853" t="s">
        <v>22</v>
      </c>
      <c s="1853" t="s">
        <v>894</v>
      </c>
    </row>
    <row r="362" spans="1:9" ht="11.25" customHeight="1">
      <c r="A362" s="1853" t="s">
        <v>2247</v>
      </c>
      <c s="1853" t="s">
        <v>16</v>
      </c>
      <c s="1853" t="s">
        <v>2379</v>
      </c>
      <c s="1853" t="s">
        <v>2380</v>
      </c>
      <c s="1853" t="s">
        <v>2381</v>
      </c>
      <c s="1853" t="s">
        <v>2382</v>
      </c>
      <c s="1853" t="s">
        <v>22</v>
      </c>
      <c s="1853" t="s">
        <v>22</v>
      </c>
      <c s="1853" t="s">
        <v>894</v>
      </c>
    </row>
    <row r="363" spans="1:9" ht="11.25" customHeight="1">
      <c r="A363" s="1853" t="s">
        <v>2247</v>
      </c>
      <c s="1853" t="s">
        <v>16</v>
      </c>
      <c s="1853" t="s">
        <v>2383</v>
      </c>
      <c s="1853" t="s">
        <v>2384</v>
      </c>
      <c s="1853" t="s">
        <v>2385</v>
      </c>
      <c s="1853" t="s">
        <v>2386</v>
      </c>
      <c s="1853" t="s">
        <v>2387</v>
      </c>
      <c s="1853" t="s">
        <v>22</v>
      </c>
      <c s="1853" t="s">
        <v>894</v>
      </c>
    </row>
    <row r="364" spans="1:9" ht="11.25" customHeight="1">
      <c r="A364" s="1853" t="s">
        <v>2247</v>
      </c>
      <c s="1853" t="s">
        <v>16</v>
      </c>
      <c s="1853" t="s">
        <v>2388</v>
      </c>
      <c s="1853" t="s">
        <v>2389</v>
      </c>
      <c s="1853" t="s">
        <v>2390</v>
      </c>
      <c s="1853" t="s">
        <v>2391</v>
      </c>
      <c s="1853" t="s">
        <v>22</v>
      </c>
      <c s="1853" t="s">
        <v>22</v>
      </c>
      <c s="1853" t="s">
        <v>894</v>
      </c>
    </row>
    <row r="365" spans="1:9" ht="11.25" customHeight="1">
      <c r="A365" s="1853" t="s">
        <v>2247</v>
      </c>
      <c s="1853" t="s">
        <v>16</v>
      </c>
      <c s="1853" t="s">
        <v>2404</v>
      </c>
      <c s="1853" t="s">
        <v>2405</v>
      </c>
      <c s="1853" t="s">
        <v>2406</v>
      </c>
      <c s="1853" t="s">
        <v>2348</v>
      </c>
      <c s="1853" t="s">
        <v>22</v>
      </c>
      <c s="1853" t="s">
        <v>22</v>
      </c>
      <c s="1853" t="s">
        <v>894</v>
      </c>
    </row>
    <row r="366" spans="1:9" ht="11.25" customHeight="1">
      <c r="A366" s="1853" t="s">
        <v>2247</v>
      </c>
      <c s="1853" t="s">
        <v>16</v>
      </c>
      <c s="1853" t="s">
        <v>2413</v>
      </c>
      <c s="1853" t="s">
        <v>2414</v>
      </c>
      <c s="1853" t="s">
        <v>2415</v>
      </c>
      <c s="1853" t="s">
        <v>2256</v>
      </c>
      <c s="1853" t="s">
        <v>2416</v>
      </c>
      <c s="1853" t="s">
        <v>22</v>
      </c>
      <c s="1853" t="s">
        <v>894</v>
      </c>
    </row>
    <row r="367" spans="1:9" ht="11.25" customHeight="1">
      <c r="A367" s="1853" t="s">
        <v>2247</v>
      </c>
      <c s="1853" t="s">
        <v>16</v>
      </c>
      <c s="1853" t="s">
        <v>2420</v>
      </c>
      <c s="1853" t="s">
        <v>2421</v>
      </c>
      <c s="1853" t="s">
        <v>2422</v>
      </c>
      <c s="1853" t="s">
        <v>2283</v>
      </c>
      <c s="1853" t="s">
        <v>22</v>
      </c>
      <c s="1853" t="s">
        <v>22</v>
      </c>
      <c s="1853" t="s">
        <v>894</v>
      </c>
    </row>
    <row r="368" spans="1:9" ht="11.25" customHeight="1">
      <c r="A368" s="1853" t="s">
        <v>2247</v>
      </c>
      <c s="1853" t="s">
        <v>16</v>
      </c>
      <c s="1853" t="s">
        <v>2427</v>
      </c>
      <c s="1853" t="s">
        <v>2428</v>
      </c>
      <c s="1853" t="s">
        <v>2429</v>
      </c>
      <c s="1853" t="s">
        <v>2290</v>
      </c>
      <c s="1853" t="s">
        <v>2430</v>
      </c>
      <c s="1853" t="s">
        <v>22</v>
      </c>
      <c s="1853" t="s">
        <v>894</v>
      </c>
    </row>
    <row r="369" spans="1:9" ht="11.25" customHeight="1">
      <c r="A369" s="1853" t="s">
        <v>2247</v>
      </c>
      <c s="1853" t="s">
        <v>16</v>
      </c>
      <c s="1853" t="s">
        <v>2431</v>
      </c>
      <c s="1853" t="s">
        <v>2428</v>
      </c>
      <c s="1853" t="s">
        <v>2429</v>
      </c>
      <c s="1853" t="s">
        <v>2432</v>
      </c>
      <c s="1853" t="s">
        <v>2433</v>
      </c>
      <c s="1853" t="s">
        <v>22</v>
      </c>
      <c s="1853" t="s">
        <v>894</v>
      </c>
    </row>
    <row r="370" spans="1:9" ht="11.25" customHeight="1">
      <c r="A370" s="1853" t="s">
        <v>2247</v>
      </c>
      <c s="1853" t="s">
        <v>16</v>
      </c>
      <c s="1853" t="s">
        <v>2434</v>
      </c>
      <c s="1853" t="s">
        <v>2435</v>
      </c>
      <c s="1853" t="s">
        <v>2436</v>
      </c>
      <c s="1853" t="s">
        <v>2437</v>
      </c>
      <c s="1853" t="s">
        <v>2438</v>
      </c>
      <c s="1853" t="s">
        <v>22</v>
      </c>
      <c s="1853" t="s">
        <v>894</v>
      </c>
    </row>
    <row r="371" spans="1:9" ht="11.25" customHeight="1">
      <c r="A371" s="1853" t="s">
        <v>2247</v>
      </c>
      <c s="1853" t="s">
        <v>16</v>
      </c>
      <c s="1853" t="s">
        <v>2439</v>
      </c>
      <c s="1853" t="s">
        <v>2440</v>
      </c>
      <c s="1853" t="s">
        <v>2441</v>
      </c>
      <c s="1853" t="s">
        <v>2442</v>
      </c>
      <c s="1853" t="s">
        <v>2443</v>
      </c>
      <c s="1853" t="s">
        <v>22</v>
      </c>
      <c s="1853" t="s">
        <v>894</v>
      </c>
    </row>
    <row r="372" spans="1:9" ht="11.25" customHeight="1">
      <c r="A372" s="1853" t="s">
        <v>2247</v>
      </c>
      <c s="1853" t="s">
        <v>16</v>
      </c>
      <c s="1853" t="s">
        <v>2444</v>
      </c>
      <c s="1853" t="s">
        <v>2445</v>
      </c>
      <c s="1853" t="s">
        <v>2446</v>
      </c>
      <c s="1853" t="s">
        <v>2447</v>
      </c>
      <c s="1853" t="s">
        <v>22</v>
      </c>
      <c s="1853" t="s">
        <v>22</v>
      </c>
      <c s="1853" t="s">
        <v>894</v>
      </c>
    </row>
    <row r="373" spans="1:9" ht="11.25" customHeight="1">
      <c r="A373" s="1853" t="s">
        <v>2247</v>
      </c>
      <c s="1853" t="s">
        <v>16</v>
      </c>
      <c s="1853" t="s">
        <v>2448</v>
      </c>
      <c s="1853" t="s">
        <v>2449</v>
      </c>
      <c s="1853" t="s">
        <v>2446</v>
      </c>
      <c s="1853" t="s">
        <v>2450</v>
      </c>
      <c s="1853" t="s">
        <v>22</v>
      </c>
      <c s="1853" t="s">
        <v>22</v>
      </c>
      <c s="1853" t="s">
        <v>894</v>
      </c>
    </row>
    <row r="374" spans="1:9" ht="11.25" customHeight="1">
      <c r="A374" s="1853" t="s">
        <v>2247</v>
      </c>
      <c s="1853" t="s">
        <v>16</v>
      </c>
      <c s="1853" t="s">
        <v>2451</v>
      </c>
      <c s="1853" t="s">
        <v>2452</v>
      </c>
      <c s="1853" t="s">
        <v>2453</v>
      </c>
      <c s="1853" t="s">
        <v>2454</v>
      </c>
      <c s="1853" t="s">
        <v>2455</v>
      </c>
      <c s="1853" t="s">
        <v>22</v>
      </c>
      <c s="1853" t="s">
        <v>894</v>
      </c>
    </row>
    <row r="375" spans="1:9" ht="11.25" customHeight="1">
      <c r="A375" s="1853" t="s">
        <v>2247</v>
      </c>
      <c s="1853" t="s">
        <v>16</v>
      </c>
      <c s="1853" t="s">
        <v>2470</v>
      </c>
      <c s="1853" t="s">
        <v>2471</v>
      </c>
      <c s="1853" t="s">
        <v>2472</v>
      </c>
      <c s="1853" t="s">
        <v>2370</v>
      </c>
      <c s="1853" t="s">
        <v>2473</v>
      </c>
      <c s="1853" t="s">
        <v>22</v>
      </c>
      <c s="1853" t="s">
        <v>894</v>
      </c>
    </row>
    <row r="376" spans="1:9" ht="11.25" customHeight="1">
      <c r="A376" s="1853" t="s">
        <v>2247</v>
      </c>
      <c s="1853" t="s">
        <v>16</v>
      </c>
      <c s="1853" t="s">
        <v>2474</v>
      </c>
      <c s="1853" t="s">
        <v>2475</v>
      </c>
      <c s="1853" t="s">
        <v>2436</v>
      </c>
      <c s="1853" t="s">
        <v>2476</v>
      </c>
      <c s="1853" t="s">
        <v>2438</v>
      </c>
      <c s="1853" t="s">
        <v>22</v>
      </c>
      <c s="1853" t="s">
        <v>894</v>
      </c>
    </row>
    <row r="377" spans="1:9" ht="11.25" customHeight="1">
      <c r="A377" s="1853" t="s">
        <v>2247</v>
      </c>
      <c s="1853" t="s">
        <v>16</v>
      </c>
      <c s="1853" t="s">
        <v>2477</v>
      </c>
      <c s="1853" t="s">
        <v>2478</v>
      </c>
      <c s="1853" t="s">
        <v>2479</v>
      </c>
      <c s="1853" t="s">
        <v>2283</v>
      </c>
      <c s="1853" t="s">
        <v>22</v>
      </c>
      <c s="1853" t="s">
        <v>22</v>
      </c>
      <c s="1853" t="s">
        <v>894</v>
      </c>
    </row>
    <row r="378" spans="1:9" ht="11.25" customHeight="1">
      <c r="A378" s="1853" t="s">
        <v>2247</v>
      </c>
      <c s="1853" t="s">
        <v>16</v>
      </c>
      <c s="1853" t="s">
        <v>22</v>
      </c>
      <c s="1853" t="s">
        <v>2480</v>
      </c>
      <c s="1853" t="s">
        <v>2481</v>
      </c>
      <c s="1853" t="s">
        <v>2256</v>
      </c>
      <c s="1853" t="s">
        <v>22</v>
      </c>
      <c s="1853" t="s">
        <v>22</v>
      </c>
      <c s="1853" t="s">
        <v>894</v>
      </c>
    </row>
    <row r="379" spans="1:9" ht="11.25" customHeight="1">
      <c r="A379" s="1853" t="s">
        <v>2247</v>
      </c>
      <c s="1853" t="s">
        <v>16</v>
      </c>
      <c s="1853" t="s">
        <v>2500</v>
      </c>
      <c s="1853" t="s">
        <v>2501</v>
      </c>
      <c s="1853" t="s">
        <v>2502</v>
      </c>
      <c s="1853" t="s">
        <v>2503</v>
      </c>
      <c s="1853" t="s">
        <v>22</v>
      </c>
      <c s="1853" t="s">
        <v>22</v>
      </c>
      <c s="1853" t="s">
        <v>894</v>
      </c>
    </row>
    <row r="380" spans="1:9" ht="11.25" customHeight="1">
      <c r="A380" s="1853" t="s">
        <v>2247</v>
      </c>
      <c s="1853" t="s">
        <v>16</v>
      </c>
      <c s="1853" t="s">
        <v>2517</v>
      </c>
      <c s="1853" t="s">
        <v>2518</v>
      </c>
      <c s="1853" t="s">
        <v>2519</v>
      </c>
      <c s="1853" t="s">
        <v>575</v>
      </c>
      <c s="1853" t="s">
        <v>2520</v>
      </c>
      <c s="1853" t="s">
        <v>22</v>
      </c>
      <c s="1853" t="s">
        <v>894</v>
      </c>
    </row>
    <row r="381" spans="1:9" ht="11.25" customHeight="1">
      <c r="A381" s="1853" t="s">
        <v>2247</v>
      </c>
      <c s="1853" t="s">
        <v>16</v>
      </c>
      <c s="1853" t="s">
        <v>2525</v>
      </c>
      <c s="1853" t="s">
        <v>2526</v>
      </c>
      <c s="1853" t="s">
        <v>2527</v>
      </c>
      <c s="1853" t="s">
        <v>575</v>
      </c>
      <c s="1853" t="s">
        <v>2528</v>
      </c>
      <c s="1853" t="s">
        <v>22</v>
      </c>
      <c s="1853" t="s">
        <v>894</v>
      </c>
    </row>
    <row r="382" spans="1:9" ht="11.25" customHeight="1">
      <c r="A382" s="1853" t="s">
        <v>2247</v>
      </c>
      <c s="1853" t="s">
        <v>16</v>
      </c>
      <c s="1853" t="s">
        <v>2533</v>
      </c>
      <c s="1853" t="s">
        <v>2534</v>
      </c>
      <c s="1853" t="s">
        <v>2535</v>
      </c>
      <c s="1853" t="s">
        <v>2290</v>
      </c>
      <c s="1853" t="s">
        <v>2536</v>
      </c>
      <c s="1853" t="s">
        <v>22</v>
      </c>
      <c s="1853" t="s">
        <v>894</v>
      </c>
    </row>
    <row r="383" spans="1:9" ht="11.25" customHeight="1">
      <c r="A383" s="1853" t="s">
        <v>2247</v>
      </c>
      <c s="1853" t="s">
        <v>16</v>
      </c>
      <c s="1853" t="s">
        <v>2541</v>
      </c>
      <c s="1853" t="s">
        <v>2542</v>
      </c>
      <c s="1853" t="s">
        <v>2436</v>
      </c>
      <c s="1853" t="s">
        <v>2543</v>
      </c>
      <c s="1853" t="s">
        <v>2438</v>
      </c>
      <c s="1853" t="s">
        <v>22</v>
      </c>
      <c s="1853" t="s">
        <v>894</v>
      </c>
    </row>
    <row r="384" spans="1:9" ht="11.25" customHeight="1">
      <c r="A384" s="1853" t="s">
        <v>2247</v>
      </c>
      <c s="1853" t="s">
        <v>16</v>
      </c>
      <c s="1853" t="s">
        <v>2572</v>
      </c>
      <c s="1853" t="s">
        <v>2573</v>
      </c>
      <c s="1853" t="s">
        <v>2574</v>
      </c>
      <c s="1853" t="s">
        <v>2575</v>
      </c>
      <c s="1853" t="s">
        <v>22</v>
      </c>
      <c s="1853" t="s">
        <v>22</v>
      </c>
      <c s="1853" t="s">
        <v>894</v>
      </c>
    </row>
    <row r="385" spans="1:9" ht="11.25" customHeight="1">
      <c r="A385" s="1853" t="s">
        <v>2247</v>
      </c>
      <c s="1853" t="s">
        <v>16</v>
      </c>
      <c s="1853" t="s">
        <v>2590</v>
      </c>
      <c s="1853" t="s">
        <v>2591</v>
      </c>
      <c s="1853" t="s">
        <v>2592</v>
      </c>
      <c s="1853" t="s">
        <v>2503</v>
      </c>
      <c s="1853" t="s">
        <v>22</v>
      </c>
      <c s="1853" t="s">
        <v>22</v>
      </c>
      <c s="1853" t="s">
        <v>894</v>
      </c>
    </row>
    <row r="386" spans="1:9" ht="11.25" customHeight="1">
      <c r="A386" s="1853" t="s">
        <v>2247</v>
      </c>
      <c s="1853" t="s">
        <v>16</v>
      </c>
      <c s="1853" t="s">
        <v>2593</v>
      </c>
      <c s="1853" t="s">
        <v>2594</v>
      </c>
      <c s="1853" t="s">
        <v>2595</v>
      </c>
      <c s="1853" t="s">
        <v>2596</v>
      </c>
      <c s="1853" t="s">
        <v>22</v>
      </c>
      <c s="1853" t="s">
        <v>22</v>
      </c>
      <c s="1853" t="s">
        <v>894</v>
      </c>
    </row>
    <row r="387" spans="1:9" ht="11.25" customHeight="1">
      <c r="A387" s="1853" t="s">
        <v>2247</v>
      </c>
      <c s="1853" t="s">
        <v>16</v>
      </c>
      <c s="1853" t="s">
        <v>2597</v>
      </c>
      <c s="1853" t="s">
        <v>2598</v>
      </c>
      <c s="1853" t="s">
        <v>2599</v>
      </c>
      <c s="1853" t="s">
        <v>2260</v>
      </c>
      <c s="1853" t="s">
        <v>2600</v>
      </c>
      <c s="1853" t="s">
        <v>22</v>
      </c>
      <c s="1853" t="s">
        <v>894</v>
      </c>
    </row>
    <row r="388" spans="1:9" ht="11.25" customHeight="1">
      <c r="A388" s="1853" t="s">
        <v>2247</v>
      </c>
      <c s="1853" t="s">
        <v>16</v>
      </c>
      <c s="1853" t="s">
        <v>2601</v>
      </c>
      <c s="1853" t="s">
        <v>2602</v>
      </c>
      <c s="1853" t="s">
        <v>2603</v>
      </c>
      <c s="1853" t="s">
        <v>2604</v>
      </c>
      <c s="1853" t="s">
        <v>2605</v>
      </c>
      <c s="1853" t="s">
        <v>22</v>
      </c>
      <c s="1853" t="s">
        <v>894</v>
      </c>
    </row>
    <row r="389" spans="1:9" ht="11.25" customHeight="1">
      <c r="A389" s="1853" t="s">
        <v>2247</v>
      </c>
      <c s="1853" t="s">
        <v>16</v>
      </c>
      <c s="1853" t="s">
        <v>2613</v>
      </c>
      <c s="1853" t="s">
        <v>2614</v>
      </c>
      <c s="1853" t="s">
        <v>2615</v>
      </c>
      <c s="1853" t="s">
        <v>2551</v>
      </c>
      <c s="1853" t="s">
        <v>2616</v>
      </c>
      <c s="1853" t="s">
        <v>22</v>
      </c>
      <c s="1853" t="s">
        <v>894</v>
      </c>
    </row>
    <row r="390" spans="1:9" ht="11.25" customHeight="1">
      <c r="A390" s="1853" t="s">
        <v>2247</v>
      </c>
      <c s="1853" t="s">
        <v>16</v>
      </c>
      <c s="1853" t="s">
        <v>2617</v>
      </c>
      <c s="1853" t="s">
        <v>2618</v>
      </c>
      <c s="1853" t="s">
        <v>2619</v>
      </c>
      <c s="1853" t="s">
        <v>2620</v>
      </c>
      <c s="1853" t="s">
        <v>2621</v>
      </c>
      <c s="1853" t="s">
        <v>22</v>
      </c>
      <c s="1853" t="s">
        <v>894</v>
      </c>
    </row>
    <row r="391" spans="1:9" ht="11.25" customHeight="1">
      <c r="A391" s="1853" t="s">
        <v>2247</v>
      </c>
      <c s="1853" t="s">
        <v>16</v>
      </c>
      <c s="1853" t="s">
        <v>2629</v>
      </c>
      <c s="1853" t="s">
        <v>2630</v>
      </c>
      <c s="1853" t="s">
        <v>2631</v>
      </c>
      <c s="1853" t="s">
        <v>2632</v>
      </c>
      <c s="1853" t="s">
        <v>22</v>
      </c>
      <c s="1853" t="s">
        <v>22</v>
      </c>
      <c s="1853" t="s">
        <v>894</v>
      </c>
    </row>
    <row r="392" spans="1:9" ht="11.25" customHeight="1">
      <c r="A392" s="1853" t="s">
        <v>2247</v>
      </c>
      <c s="1853" t="s">
        <v>16</v>
      </c>
      <c s="1853" t="s">
        <v>2633</v>
      </c>
      <c s="1853" t="s">
        <v>2634</v>
      </c>
      <c s="1853" t="s">
        <v>2635</v>
      </c>
      <c s="1853" t="s">
        <v>2588</v>
      </c>
      <c s="1853" t="s">
        <v>22</v>
      </c>
      <c s="1853" t="s">
        <v>22</v>
      </c>
      <c s="1853" t="s">
        <v>894</v>
      </c>
    </row>
    <row r="393" spans="1:9" ht="11.25" customHeight="1">
      <c r="A393" s="1853" t="s">
        <v>2247</v>
      </c>
      <c s="1853" t="s">
        <v>16</v>
      </c>
      <c s="1853" t="s">
        <v>2645</v>
      </c>
      <c s="1853" t="s">
        <v>2646</v>
      </c>
      <c s="1853" t="s">
        <v>2647</v>
      </c>
      <c s="1853" t="s">
        <v>2568</v>
      </c>
      <c s="1853" t="s">
        <v>22</v>
      </c>
      <c s="1853" t="s">
        <v>22</v>
      </c>
      <c s="1853" t="s">
        <v>894</v>
      </c>
    </row>
    <row r="394" spans="1:9" ht="11.25" customHeight="1">
      <c r="A394" s="1853" t="s">
        <v>2247</v>
      </c>
      <c s="1853" t="s">
        <v>16</v>
      </c>
      <c s="1853" t="s">
        <v>2648</v>
      </c>
      <c s="1853" t="s">
        <v>2649</v>
      </c>
      <c s="1853" t="s">
        <v>2650</v>
      </c>
      <c s="1853" t="s">
        <v>2370</v>
      </c>
      <c s="1853" t="s">
        <v>22</v>
      </c>
      <c s="1853" t="s">
        <v>22</v>
      </c>
      <c s="1853" t="s">
        <v>894</v>
      </c>
    </row>
    <row r="395" spans="1:9" ht="11.25" customHeight="1">
      <c r="A395" s="1853" t="s">
        <v>2247</v>
      </c>
      <c s="1853" t="s">
        <v>16</v>
      </c>
      <c s="1853" t="s">
        <v>2651</v>
      </c>
      <c s="1853" t="s">
        <v>2652</v>
      </c>
      <c s="1853" t="s">
        <v>2653</v>
      </c>
      <c s="1853" t="s">
        <v>2654</v>
      </c>
      <c s="1853" t="s">
        <v>2655</v>
      </c>
      <c s="1853" t="s">
        <v>22</v>
      </c>
      <c s="1853" t="s">
        <v>894</v>
      </c>
    </row>
    <row r="396" spans="1:9" ht="11.25" customHeight="1">
      <c r="A396" s="1853" t="s">
        <v>2247</v>
      </c>
      <c s="1853" t="s">
        <v>16</v>
      </c>
      <c s="1853" t="s">
        <v>2656</v>
      </c>
      <c s="1853" t="s">
        <v>2657</v>
      </c>
      <c s="1853" t="s">
        <v>2658</v>
      </c>
      <c s="1853" t="s">
        <v>2659</v>
      </c>
      <c s="1853" t="s">
        <v>2660</v>
      </c>
      <c s="1853" t="s">
        <v>22</v>
      </c>
      <c s="1853" t="s">
        <v>894</v>
      </c>
    </row>
    <row r="397" spans="1:9" ht="11.25" customHeight="1">
      <c r="A397" s="1853" t="s">
        <v>2247</v>
      </c>
      <c s="1853" t="s">
        <v>16</v>
      </c>
      <c s="1853" t="s">
        <v>2661</v>
      </c>
      <c s="1853" t="s">
        <v>2662</v>
      </c>
      <c s="1853" t="s">
        <v>2663</v>
      </c>
      <c s="1853" t="s">
        <v>2499</v>
      </c>
      <c s="1853" t="s">
        <v>22</v>
      </c>
      <c s="1853" t="s">
        <v>22</v>
      </c>
      <c s="1853" t="s">
        <v>894</v>
      </c>
    </row>
    <row r="398" spans="1:9" ht="11.25" customHeight="1">
      <c r="A398" s="1853" t="s">
        <v>2247</v>
      </c>
      <c s="1853" t="s">
        <v>16</v>
      </c>
      <c s="1853" t="s">
        <v>2664</v>
      </c>
      <c s="1853" t="s">
        <v>2665</v>
      </c>
      <c s="1853" t="s">
        <v>2666</v>
      </c>
      <c s="1853" t="s">
        <v>2551</v>
      </c>
      <c s="1853" t="s">
        <v>2667</v>
      </c>
      <c s="1853" t="s">
        <v>22</v>
      </c>
      <c s="1853" t="s">
        <v>894</v>
      </c>
    </row>
    <row r="399" spans="1:9" ht="11.25" customHeight="1">
      <c r="A399" s="1853" t="s">
        <v>2247</v>
      </c>
      <c s="1853" t="s">
        <v>16</v>
      </c>
      <c s="1853" t="s">
        <v>2668</v>
      </c>
      <c s="1853" t="s">
        <v>2669</v>
      </c>
      <c s="1853" t="s">
        <v>2670</v>
      </c>
      <c s="1853" t="s">
        <v>2489</v>
      </c>
      <c s="1853" t="s">
        <v>2671</v>
      </c>
      <c s="1853" t="s">
        <v>22</v>
      </c>
      <c s="1853" t="s">
        <v>894</v>
      </c>
    </row>
    <row r="400" spans="1:9" ht="11.25" customHeight="1">
      <c r="A400" s="1853" t="s">
        <v>2247</v>
      </c>
      <c s="1853" t="s">
        <v>16</v>
      </c>
      <c s="1853" t="s">
        <v>2672</v>
      </c>
      <c s="1853" t="s">
        <v>2673</v>
      </c>
      <c s="1853" t="s">
        <v>2674</v>
      </c>
      <c s="1853" t="s">
        <v>2675</v>
      </c>
      <c s="1853" t="s">
        <v>2676</v>
      </c>
      <c s="1853" t="s">
        <v>22</v>
      </c>
      <c s="1853" t="s">
        <v>894</v>
      </c>
    </row>
    <row r="401" spans="1:9" ht="11.25" customHeight="1">
      <c r="A401" s="1853" t="s">
        <v>2247</v>
      </c>
      <c s="1853" t="s">
        <v>16</v>
      </c>
      <c s="1853" t="s">
        <v>2677</v>
      </c>
      <c s="1853" t="s">
        <v>2678</v>
      </c>
      <c s="1853" t="s">
        <v>2679</v>
      </c>
      <c s="1853" t="s">
        <v>2680</v>
      </c>
      <c s="1853" t="s">
        <v>22</v>
      </c>
      <c s="1853" t="s">
        <v>22</v>
      </c>
      <c s="1853" t="s">
        <v>894</v>
      </c>
    </row>
    <row r="402" spans="1:9" ht="11.25" customHeight="1">
      <c r="A402" s="1853" t="s">
        <v>2247</v>
      </c>
      <c s="1853" t="s">
        <v>16</v>
      </c>
      <c s="1853" t="s">
        <v>2681</v>
      </c>
      <c s="1853" t="s">
        <v>2682</v>
      </c>
      <c s="1853" t="s">
        <v>2683</v>
      </c>
      <c s="1853" t="s">
        <v>2684</v>
      </c>
      <c s="1853" t="s">
        <v>2685</v>
      </c>
      <c s="1853" t="s">
        <v>22</v>
      </c>
      <c s="1853" t="s">
        <v>894</v>
      </c>
    </row>
    <row r="403" spans="1:9" ht="11.25" customHeight="1">
      <c r="A403" s="1853" t="s">
        <v>2247</v>
      </c>
      <c s="1853" t="s">
        <v>16</v>
      </c>
      <c s="1853" t="s">
        <v>2686</v>
      </c>
      <c s="1853" t="s">
        <v>2687</v>
      </c>
      <c s="1853" t="s">
        <v>2688</v>
      </c>
      <c s="1853" t="s">
        <v>2689</v>
      </c>
      <c s="1853" t="s">
        <v>22</v>
      </c>
      <c s="1853" t="s">
        <v>22</v>
      </c>
      <c s="1853" t="s">
        <v>894</v>
      </c>
    </row>
    <row r="404" spans="1:9" ht="11.25" customHeight="1">
      <c r="A404" s="1853" t="s">
        <v>2247</v>
      </c>
      <c s="1853" t="s">
        <v>16</v>
      </c>
      <c s="1853" t="s">
        <v>2694</v>
      </c>
      <c s="1853" t="s">
        <v>2695</v>
      </c>
      <c s="1853" t="s">
        <v>2696</v>
      </c>
      <c s="1853" t="s">
        <v>2464</v>
      </c>
      <c s="1853" t="s">
        <v>2697</v>
      </c>
      <c s="1853" t="s">
        <v>22</v>
      </c>
      <c s="1853" t="s">
        <v>894</v>
      </c>
    </row>
    <row r="405" spans="1:9" ht="11.25" customHeight="1">
      <c r="A405" s="1853" t="s">
        <v>2247</v>
      </c>
      <c s="1853" t="s">
        <v>16</v>
      </c>
      <c s="1853" t="s">
        <v>2698</v>
      </c>
      <c s="1853" t="s">
        <v>2699</v>
      </c>
      <c s="1853" t="s">
        <v>2700</v>
      </c>
      <c s="1853" t="s">
        <v>2684</v>
      </c>
      <c s="1853" t="s">
        <v>2701</v>
      </c>
      <c s="1853" t="s">
        <v>22</v>
      </c>
      <c s="1853" t="s">
        <v>894</v>
      </c>
    </row>
    <row r="406" spans="1:9" ht="11.25" customHeight="1">
      <c r="A406" s="1853" t="s">
        <v>2247</v>
      </c>
      <c s="1853" t="s">
        <v>16</v>
      </c>
      <c s="1853" t="s">
        <v>2702</v>
      </c>
      <c s="1853" t="s">
        <v>2703</v>
      </c>
      <c s="1853" t="s">
        <v>2704</v>
      </c>
      <c s="1853" t="s">
        <v>2568</v>
      </c>
      <c s="1853" t="s">
        <v>22</v>
      </c>
      <c s="1853" t="s">
        <v>22</v>
      </c>
      <c s="1853" t="s">
        <v>894</v>
      </c>
    </row>
    <row r="407" spans="1:9" ht="11.25" customHeight="1">
      <c r="A407" s="1853" t="s">
        <v>2247</v>
      </c>
      <c s="1853" t="s">
        <v>16</v>
      </c>
      <c s="1853" t="s">
        <v>2705</v>
      </c>
      <c s="1853" t="s">
        <v>2706</v>
      </c>
      <c s="1853" t="s">
        <v>2707</v>
      </c>
      <c s="1853" t="s">
        <v>2708</v>
      </c>
      <c s="1853" t="s">
        <v>22</v>
      </c>
      <c s="1853" t="s">
        <v>22</v>
      </c>
      <c s="1853" t="s">
        <v>894</v>
      </c>
    </row>
    <row r="408" spans="1:9" ht="11.25" customHeight="1">
      <c r="A408" s="1853" t="s">
        <v>2247</v>
      </c>
      <c s="1853" t="s">
        <v>16</v>
      </c>
      <c s="1853" t="s">
        <v>2713</v>
      </c>
      <c s="1853" t="s">
        <v>2714</v>
      </c>
      <c s="1853" t="s">
        <v>2715</v>
      </c>
      <c s="1853" t="s">
        <v>2716</v>
      </c>
      <c s="1853" t="s">
        <v>2717</v>
      </c>
      <c s="1853" t="s">
        <v>22</v>
      </c>
      <c s="1853" t="s">
        <v>894</v>
      </c>
    </row>
    <row r="409" spans="1:9" ht="11.25" customHeight="1">
      <c r="A409" s="1853" t="s">
        <v>2247</v>
      </c>
      <c s="1853" t="s">
        <v>16</v>
      </c>
      <c s="1853" t="s">
        <v>2721</v>
      </c>
      <c s="1853" t="s">
        <v>2722</v>
      </c>
      <c s="1853" t="s">
        <v>2723</v>
      </c>
      <c s="1853" t="s">
        <v>2265</v>
      </c>
      <c s="1853" t="s">
        <v>22</v>
      </c>
      <c s="1853" t="s">
        <v>22</v>
      </c>
      <c s="1853" t="s">
        <v>894</v>
      </c>
    </row>
    <row r="410" spans="1:9" ht="11.25" customHeight="1">
      <c r="A410" s="1853" t="s">
        <v>2247</v>
      </c>
      <c s="1853" t="s">
        <v>16</v>
      </c>
      <c s="1853" t="s">
        <v>2724</v>
      </c>
      <c s="1853" t="s">
        <v>2725</v>
      </c>
      <c s="1853" t="s">
        <v>2726</v>
      </c>
      <c s="1853" t="s">
        <v>2386</v>
      </c>
      <c s="1853" t="s">
        <v>2727</v>
      </c>
      <c s="1853" t="s">
        <v>22</v>
      </c>
      <c s="1853" t="s">
        <v>894</v>
      </c>
    </row>
    <row r="411" spans="1:9" ht="11.25" customHeight="1">
      <c r="A411" s="1853" t="s">
        <v>2247</v>
      </c>
      <c s="1853" t="s">
        <v>16</v>
      </c>
      <c s="1853" t="s">
        <v>2728</v>
      </c>
      <c s="1853" t="s">
        <v>2729</v>
      </c>
      <c s="1853" t="s">
        <v>2730</v>
      </c>
      <c s="1853" t="s">
        <v>2731</v>
      </c>
      <c s="1853" t="s">
        <v>2732</v>
      </c>
      <c s="1853" t="s">
        <v>22</v>
      </c>
      <c s="1853" t="s">
        <v>894</v>
      </c>
    </row>
    <row r="412" spans="1:9" ht="11.25" customHeight="1">
      <c r="A412" s="1853" t="s">
        <v>2247</v>
      </c>
      <c s="1853" t="s">
        <v>16</v>
      </c>
      <c s="1853" t="s">
        <v>2739</v>
      </c>
      <c s="1853" t="s">
        <v>2740</v>
      </c>
      <c s="1853" t="s">
        <v>2741</v>
      </c>
      <c s="1853" t="s">
        <v>2742</v>
      </c>
      <c s="1853" t="s">
        <v>22</v>
      </c>
      <c s="1853" t="s">
        <v>22</v>
      </c>
      <c s="1853" t="s">
        <v>894</v>
      </c>
    </row>
    <row r="413" spans="1:9" ht="11.25" customHeight="1">
      <c r="A413" s="1853" t="s">
        <v>2247</v>
      </c>
      <c s="1853" t="s">
        <v>16</v>
      </c>
      <c s="1853" t="s">
        <v>2747</v>
      </c>
      <c s="1853" t="s">
        <v>2748</v>
      </c>
      <c s="1853" t="s">
        <v>2749</v>
      </c>
      <c s="1853" t="s">
        <v>2659</v>
      </c>
      <c s="1853" t="s">
        <v>2750</v>
      </c>
      <c s="1853" t="s">
        <v>22</v>
      </c>
      <c s="1853" t="s">
        <v>894</v>
      </c>
    </row>
    <row r="414" spans="1:9" ht="11.25" customHeight="1">
      <c r="A414" s="1853" t="s">
        <v>2247</v>
      </c>
      <c s="1853" t="s">
        <v>16</v>
      </c>
      <c s="1853" t="s">
        <v>2754</v>
      </c>
      <c s="1853" t="s">
        <v>2755</v>
      </c>
      <c s="1853" t="s">
        <v>2756</v>
      </c>
      <c s="1853" t="s">
        <v>2584</v>
      </c>
      <c s="1853" t="s">
        <v>22</v>
      </c>
      <c s="1853" t="s">
        <v>22</v>
      </c>
      <c s="1853" t="s">
        <v>894</v>
      </c>
    </row>
    <row r="415" spans="1:9" ht="11.25" customHeight="1">
      <c r="A415" s="1853" t="s">
        <v>2247</v>
      </c>
      <c s="1853" t="s">
        <v>16</v>
      </c>
      <c s="1853" t="s">
        <v>2757</v>
      </c>
      <c s="1853" t="s">
        <v>2758</v>
      </c>
      <c s="1853" t="s">
        <v>2759</v>
      </c>
      <c s="1853" t="s">
        <v>51</v>
      </c>
      <c s="1853" t="s">
        <v>2760</v>
      </c>
      <c s="1853" t="s">
        <v>22</v>
      </c>
      <c s="1853" t="s">
        <v>894</v>
      </c>
    </row>
    <row r="416" spans="1:9" ht="11.25" customHeight="1">
      <c r="A416" s="1853" t="s">
        <v>2247</v>
      </c>
      <c s="1853" t="s">
        <v>16</v>
      </c>
      <c s="1853" t="s">
        <v>2769</v>
      </c>
      <c s="1853" t="s">
        <v>2770</v>
      </c>
      <c s="1853" t="s">
        <v>2771</v>
      </c>
      <c s="1853" t="s">
        <v>2772</v>
      </c>
      <c s="1853" t="s">
        <v>2773</v>
      </c>
      <c s="1853" t="s">
        <v>22</v>
      </c>
      <c s="1853" t="s">
        <v>894</v>
      </c>
    </row>
    <row r="417" spans="1:9" ht="11.25" customHeight="1">
      <c r="A417" s="1853" t="s">
        <v>2247</v>
      </c>
      <c s="1853" t="s">
        <v>16</v>
      </c>
      <c s="1853" t="s">
        <v>2774</v>
      </c>
      <c s="1853" t="s">
        <v>2775</v>
      </c>
      <c s="1853" t="s">
        <v>2776</v>
      </c>
      <c s="1853" t="s">
        <v>2260</v>
      </c>
      <c s="1853" t="s">
        <v>22</v>
      </c>
      <c s="1853" t="s">
        <v>22</v>
      </c>
      <c s="1853" t="s">
        <v>894</v>
      </c>
    </row>
    <row r="418" spans="1:9" ht="11.25" customHeight="1">
      <c r="A418" s="1853" t="s">
        <v>2247</v>
      </c>
      <c s="1853" t="s">
        <v>16</v>
      </c>
      <c s="1853" t="s">
        <v>2784</v>
      </c>
      <c s="1853" t="s">
        <v>2785</v>
      </c>
      <c s="1853" t="s">
        <v>2429</v>
      </c>
      <c s="1853" t="s">
        <v>2786</v>
      </c>
      <c s="1853" t="s">
        <v>2787</v>
      </c>
      <c s="1853" t="s">
        <v>22</v>
      </c>
      <c s="1853" t="s">
        <v>894</v>
      </c>
    </row>
    <row r="419" spans="1:9" ht="11.25" customHeight="1">
      <c r="A419" s="1853" t="s">
        <v>2247</v>
      </c>
      <c s="1853" t="s">
        <v>16</v>
      </c>
      <c s="1853" t="s">
        <v>2839</v>
      </c>
      <c s="1853" t="s">
        <v>2840</v>
      </c>
      <c s="1853" t="s">
        <v>2841</v>
      </c>
      <c s="1853" t="s">
        <v>2842</v>
      </c>
      <c s="1853" t="s">
        <v>2843</v>
      </c>
      <c s="1853" t="s">
        <v>22</v>
      </c>
      <c s="1853" t="s">
        <v>894</v>
      </c>
    </row>
    <row r="420" spans="1:9" ht="11.25" customHeight="1">
      <c r="A420" s="1853" t="s">
        <v>2247</v>
      </c>
      <c s="1853" t="s">
        <v>16</v>
      </c>
      <c s="1853" t="s">
        <v>2847</v>
      </c>
      <c s="1853" t="s">
        <v>2848</v>
      </c>
      <c s="1853" t="s">
        <v>2849</v>
      </c>
      <c s="1853" t="s">
        <v>2301</v>
      </c>
      <c s="1853" t="s">
        <v>2850</v>
      </c>
      <c s="1853" t="s">
        <v>22</v>
      </c>
      <c s="1853" t="s">
        <v>894</v>
      </c>
    </row>
    <row r="421" spans="1:9" ht="11.25" customHeight="1">
      <c r="A421" s="1853" t="s">
        <v>2247</v>
      </c>
      <c s="1853" t="s">
        <v>16</v>
      </c>
      <c s="1853" t="s">
        <v>2866</v>
      </c>
      <c s="1853" t="s">
        <v>2867</v>
      </c>
      <c s="1853" t="s">
        <v>2868</v>
      </c>
      <c s="1853" t="s">
        <v>2251</v>
      </c>
      <c s="1853" t="s">
        <v>2869</v>
      </c>
      <c s="1853" t="s">
        <v>22</v>
      </c>
      <c s="1853" t="s">
        <v>894</v>
      </c>
    </row>
    <row r="422" spans="1:9" ht="11.25" customHeight="1">
      <c r="A422" s="1853" t="s">
        <v>2247</v>
      </c>
      <c s="1853" t="s">
        <v>16</v>
      </c>
      <c s="1853" t="s">
        <v>2870</v>
      </c>
      <c s="1853" t="s">
        <v>2871</v>
      </c>
      <c s="1853" t="s">
        <v>2872</v>
      </c>
      <c s="1853" t="s">
        <v>2454</v>
      </c>
      <c s="1853" t="s">
        <v>22</v>
      </c>
      <c s="1853" t="s">
        <v>22</v>
      </c>
      <c s="1853" t="s">
        <v>894</v>
      </c>
    </row>
    <row r="423" spans="1:9" ht="11.25" customHeight="1">
      <c r="A423" s="1853" t="s">
        <v>2247</v>
      </c>
      <c s="1853" t="s">
        <v>16</v>
      </c>
      <c s="1853" t="s">
        <v>2891</v>
      </c>
      <c s="1853" t="s">
        <v>2892</v>
      </c>
      <c s="1853" t="s">
        <v>2539</v>
      </c>
      <c s="1853" t="s">
        <v>2893</v>
      </c>
      <c s="1853" t="s">
        <v>22</v>
      </c>
      <c s="1853" t="s">
        <v>22</v>
      </c>
      <c s="1853" t="s">
        <v>894</v>
      </c>
    </row>
    <row r="424" spans="1:9" ht="11.25" customHeight="1">
      <c r="A424" s="1853" t="s">
        <v>2247</v>
      </c>
      <c s="1853" t="s">
        <v>16</v>
      </c>
      <c s="1853" t="s">
        <v>2905</v>
      </c>
      <c s="1853" t="s">
        <v>2906</v>
      </c>
      <c s="1853" t="s">
        <v>2907</v>
      </c>
      <c s="1853" t="s">
        <v>2328</v>
      </c>
      <c s="1853" t="s">
        <v>2908</v>
      </c>
      <c s="1853" t="s">
        <v>22</v>
      </c>
      <c s="1853" t="s">
        <v>894</v>
      </c>
    </row>
    <row r="425" spans="1:9" ht="11.25" customHeight="1">
      <c r="A425" s="1853" t="s">
        <v>2247</v>
      </c>
      <c s="1853" t="s">
        <v>16</v>
      </c>
      <c s="1853" t="s">
        <v>2909</v>
      </c>
      <c s="1853" t="s">
        <v>2910</v>
      </c>
      <c s="1853" t="s">
        <v>2911</v>
      </c>
      <c s="1853" t="s">
        <v>2251</v>
      </c>
      <c s="1853" t="s">
        <v>2912</v>
      </c>
      <c s="1853" t="s">
        <v>22</v>
      </c>
      <c s="1853" t="s">
        <v>894</v>
      </c>
    </row>
    <row r="426" spans="1:9" ht="11.25" customHeight="1">
      <c r="A426" s="1853" t="s">
        <v>2247</v>
      </c>
      <c s="1853" t="s">
        <v>16</v>
      </c>
      <c s="1853" t="s">
        <v>2935</v>
      </c>
      <c s="1853" t="s">
        <v>2936</v>
      </c>
      <c s="1853" t="s">
        <v>2937</v>
      </c>
      <c s="1853" t="s">
        <v>2256</v>
      </c>
      <c s="1853" t="s">
        <v>2938</v>
      </c>
      <c s="1853" t="s">
        <v>22</v>
      </c>
      <c s="1853" t="s">
        <v>894</v>
      </c>
    </row>
    <row r="427" spans="1:9" ht="11.25" customHeight="1">
      <c r="A427" s="1853" t="s">
        <v>2247</v>
      </c>
      <c s="1853" t="s">
        <v>16</v>
      </c>
      <c s="1853" t="s">
        <v>2939</v>
      </c>
      <c s="1853" t="s">
        <v>2940</v>
      </c>
      <c s="1853" t="s">
        <v>2941</v>
      </c>
      <c s="1853" t="s">
        <v>51</v>
      </c>
      <c s="1853" t="s">
        <v>2655</v>
      </c>
      <c s="1853" t="s">
        <v>22</v>
      </c>
      <c s="1853" t="s">
        <v>894</v>
      </c>
    </row>
    <row r="428" spans="1:9" ht="11.25" customHeight="1">
      <c r="A428" s="1853" t="s">
        <v>2247</v>
      </c>
      <c s="1853" t="s">
        <v>16</v>
      </c>
      <c s="1853" t="s">
        <v>2942</v>
      </c>
      <c s="1853" t="s">
        <v>2943</v>
      </c>
      <c s="1853" t="s">
        <v>2944</v>
      </c>
      <c s="1853" t="s">
        <v>51</v>
      </c>
      <c s="1853" t="s">
        <v>22</v>
      </c>
      <c s="1853" t="s">
        <v>22</v>
      </c>
      <c s="1853" t="s">
        <v>894</v>
      </c>
    </row>
    <row r="429" spans="1:9" ht="11.25" customHeight="1">
      <c r="A429" s="1853" t="s">
        <v>2247</v>
      </c>
      <c s="1853" t="s">
        <v>16</v>
      </c>
      <c s="1853" t="s">
        <v>2956</v>
      </c>
      <c s="1853" t="s">
        <v>2957</v>
      </c>
      <c s="1853" t="s">
        <v>2958</v>
      </c>
      <c s="1853" t="s">
        <v>51</v>
      </c>
      <c s="1853" t="s">
        <v>2959</v>
      </c>
      <c s="1853" t="s">
        <v>22</v>
      </c>
      <c s="1853" t="s">
        <v>894</v>
      </c>
    </row>
    <row r="430" spans="1:9" ht="11.25" customHeight="1">
      <c r="A430" s="1853" t="s">
        <v>2247</v>
      </c>
      <c s="1853" t="s">
        <v>16</v>
      </c>
      <c s="1853" t="s">
        <v>2960</v>
      </c>
      <c s="1853" t="s">
        <v>2961</v>
      </c>
      <c s="1853" t="s">
        <v>2962</v>
      </c>
      <c s="1853" t="s">
        <v>2620</v>
      </c>
      <c s="1853" t="s">
        <v>22</v>
      </c>
      <c s="1853" t="s">
        <v>22</v>
      </c>
      <c s="1853" t="s">
        <v>894</v>
      </c>
    </row>
    <row r="431" spans="1:9" ht="11.25" customHeight="1">
      <c r="A431" s="1853" t="s">
        <v>2247</v>
      </c>
      <c s="1853" t="s">
        <v>16</v>
      </c>
      <c s="1853" t="s">
        <v>2967</v>
      </c>
      <c s="1853" t="s">
        <v>2968</v>
      </c>
      <c s="1853" t="s">
        <v>2969</v>
      </c>
      <c s="1853" t="s">
        <v>2604</v>
      </c>
      <c s="1853" t="s">
        <v>2970</v>
      </c>
      <c s="1853" t="s">
        <v>22</v>
      </c>
      <c s="1853" t="s">
        <v>894</v>
      </c>
    </row>
    <row r="432" spans="1:9" ht="11.25" customHeight="1">
      <c r="A432" s="1853" t="s">
        <v>2247</v>
      </c>
      <c s="1853" t="s">
        <v>16</v>
      </c>
      <c s="1853" t="s">
        <v>2989</v>
      </c>
      <c s="1853" t="s">
        <v>2990</v>
      </c>
      <c s="1853" t="s">
        <v>2991</v>
      </c>
      <c s="1853" t="s">
        <v>2982</v>
      </c>
      <c s="1853" t="s">
        <v>2992</v>
      </c>
      <c s="1853" t="s">
        <v>22</v>
      </c>
      <c s="1853" t="s">
        <v>894</v>
      </c>
    </row>
    <row r="433" spans="1:9" ht="11.25" customHeight="1">
      <c r="A433" s="1853" t="s">
        <v>2247</v>
      </c>
      <c s="1853" t="s">
        <v>16</v>
      </c>
      <c s="1853" t="s">
        <v>2993</v>
      </c>
      <c s="1853" t="s">
        <v>2994</v>
      </c>
      <c s="1853" t="s">
        <v>2995</v>
      </c>
      <c s="1853" t="s">
        <v>2382</v>
      </c>
      <c s="1853" t="s">
        <v>2996</v>
      </c>
      <c s="1853" t="s">
        <v>22</v>
      </c>
      <c s="1853" t="s">
        <v>894</v>
      </c>
    </row>
    <row r="434" spans="1:9" ht="11.25" customHeight="1">
      <c r="A434" s="1853" t="s">
        <v>2247</v>
      </c>
      <c s="1853" t="s">
        <v>16</v>
      </c>
      <c s="1853" t="s">
        <v>3033</v>
      </c>
      <c s="1853" t="s">
        <v>3034</v>
      </c>
      <c s="1853" t="s">
        <v>3035</v>
      </c>
      <c s="1853" t="s">
        <v>2290</v>
      </c>
      <c s="1853" t="s">
        <v>3036</v>
      </c>
      <c s="1853" t="s">
        <v>22</v>
      </c>
      <c s="1853" t="s">
        <v>894</v>
      </c>
    </row>
    <row r="435" spans="1:9" ht="11.25" customHeight="1">
      <c r="A435" s="1853" t="s">
        <v>2247</v>
      </c>
      <c s="1853" t="s">
        <v>16</v>
      </c>
      <c s="1853" t="s">
        <v>3086</v>
      </c>
      <c s="1853" t="s">
        <v>3087</v>
      </c>
      <c s="1853" t="s">
        <v>3088</v>
      </c>
      <c s="1853" t="s">
        <v>2370</v>
      </c>
      <c s="1853" t="s">
        <v>3089</v>
      </c>
      <c s="1853" t="s">
        <v>22</v>
      </c>
      <c s="1853" t="s">
        <v>894</v>
      </c>
    </row>
    <row r="436" spans="1:9" ht="11.25" customHeight="1">
      <c r="A436" s="1853" t="s">
        <v>2247</v>
      </c>
      <c s="1853" t="s">
        <v>16</v>
      </c>
      <c s="1853" t="s">
        <v>3093</v>
      </c>
      <c s="1853" t="s">
        <v>3094</v>
      </c>
      <c s="1853" t="s">
        <v>3095</v>
      </c>
      <c s="1853" t="s">
        <v>3096</v>
      </c>
      <c s="1853" t="s">
        <v>3097</v>
      </c>
      <c s="1853" t="s">
        <v>22</v>
      </c>
      <c s="1853" t="s">
        <v>894</v>
      </c>
    </row>
    <row r="437" spans="1:9" ht="11.25" customHeight="1">
      <c r="A437" s="1853" t="s">
        <v>2247</v>
      </c>
      <c s="1853" t="s">
        <v>16</v>
      </c>
      <c s="1853" t="s">
        <v>3098</v>
      </c>
      <c s="1853" t="s">
        <v>3099</v>
      </c>
      <c s="1853" t="s">
        <v>3100</v>
      </c>
      <c s="1853" t="s">
        <v>51</v>
      </c>
      <c s="1853" t="s">
        <v>3101</v>
      </c>
      <c s="1853" t="s">
        <v>22</v>
      </c>
      <c s="1853" t="s">
        <v>894</v>
      </c>
    </row>
    <row r="438" spans="1:9" ht="11.25" customHeight="1">
      <c r="A438" s="1853" t="s">
        <v>2247</v>
      </c>
      <c s="1853" t="s">
        <v>16</v>
      </c>
      <c s="1853" t="s">
        <v>3102</v>
      </c>
      <c s="1853" t="s">
        <v>3103</v>
      </c>
      <c s="1853" t="s">
        <v>3104</v>
      </c>
      <c s="1853" t="s">
        <v>2270</v>
      </c>
      <c s="1853" t="s">
        <v>22</v>
      </c>
      <c s="1853" t="s">
        <v>22</v>
      </c>
      <c s="1853" t="s">
        <v>894</v>
      </c>
    </row>
    <row r="439" spans="1:9" ht="11.25" customHeight="1">
      <c r="A439" s="1853" t="s">
        <v>2247</v>
      </c>
      <c s="1853" t="s">
        <v>16</v>
      </c>
      <c s="1853" t="s">
        <v>3109</v>
      </c>
      <c s="1853" t="s">
        <v>3110</v>
      </c>
      <c s="1853" t="s">
        <v>3111</v>
      </c>
      <c s="1853" t="s">
        <v>2290</v>
      </c>
      <c s="1853" t="s">
        <v>3112</v>
      </c>
      <c s="1853" t="s">
        <v>22</v>
      </c>
      <c s="1853" t="s">
        <v>894</v>
      </c>
    </row>
    <row r="440" spans="1:9" ht="11.25" customHeight="1">
      <c r="A440" s="1853" t="s">
        <v>2247</v>
      </c>
      <c s="1853" t="s">
        <v>16</v>
      </c>
      <c s="1853" t="s">
        <v>3113</v>
      </c>
      <c s="1853" t="s">
        <v>3114</v>
      </c>
      <c s="1853" t="s">
        <v>3115</v>
      </c>
      <c s="1853" t="s">
        <v>2684</v>
      </c>
      <c s="1853" t="s">
        <v>3116</v>
      </c>
      <c s="1853" t="s">
        <v>22</v>
      </c>
      <c s="1853" t="s">
        <v>894</v>
      </c>
    </row>
    <row r="441" spans="1:9" ht="11.25" customHeight="1">
      <c r="A441" s="1853" t="s">
        <v>2247</v>
      </c>
      <c s="1853" t="s">
        <v>16</v>
      </c>
      <c s="1853" t="s">
        <v>3124</v>
      </c>
      <c s="1853" t="s">
        <v>3125</v>
      </c>
      <c s="1853" t="s">
        <v>3126</v>
      </c>
      <c s="1853" t="s">
        <v>2256</v>
      </c>
      <c s="1853" t="s">
        <v>3127</v>
      </c>
      <c s="1853" t="s">
        <v>22</v>
      </c>
      <c s="1853" t="s">
        <v>894</v>
      </c>
    </row>
    <row r="442" spans="1:9" ht="11.25" customHeight="1">
      <c r="A442" s="1853" t="s">
        <v>2247</v>
      </c>
      <c s="1853" t="s">
        <v>16</v>
      </c>
      <c s="1853" t="s">
        <v>3140</v>
      </c>
      <c s="1853" t="s">
        <v>3141</v>
      </c>
      <c s="1853" t="s">
        <v>3142</v>
      </c>
      <c s="1853" t="s">
        <v>2290</v>
      </c>
      <c s="1853" t="s">
        <v>3143</v>
      </c>
      <c s="1853" t="s">
        <v>22</v>
      </c>
      <c s="1853" t="s">
        <v>894</v>
      </c>
    </row>
    <row r="443" spans="1:9" ht="11.25" customHeight="1">
      <c r="A443" s="1853" t="s">
        <v>2247</v>
      </c>
      <c s="1853" t="s">
        <v>16</v>
      </c>
      <c s="1853" t="s">
        <v>3144</v>
      </c>
      <c s="1853" t="s">
        <v>3141</v>
      </c>
      <c s="1853" t="s">
        <v>3145</v>
      </c>
      <c s="1853" t="s">
        <v>3146</v>
      </c>
      <c s="1853" t="s">
        <v>3147</v>
      </c>
      <c s="1853" t="s">
        <v>22</v>
      </c>
      <c s="1853" t="s">
        <v>894</v>
      </c>
    </row>
    <row r="444" spans="1:9" ht="11.25" customHeight="1">
      <c r="A444" s="1853" t="s">
        <v>2247</v>
      </c>
      <c s="1853" t="s">
        <v>16</v>
      </c>
      <c s="1853" t="s">
        <v>3166</v>
      </c>
      <c s="1853" t="s">
        <v>3167</v>
      </c>
      <c s="1853" t="s">
        <v>3168</v>
      </c>
      <c s="1853" t="s">
        <v>3169</v>
      </c>
      <c s="1853" t="s">
        <v>22</v>
      </c>
      <c s="1853" t="s">
        <v>22</v>
      </c>
      <c s="1853" t="s">
        <v>894</v>
      </c>
    </row>
    <row r="445" spans="1:9" ht="11.25" customHeight="1">
      <c r="A445" s="1853" t="s">
        <v>2247</v>
      </c>
      <c s="1853" t="s">
        <v>16</v>
      </c>
      <c s="1853" t="s">
        <v>3184</v>
      </c>
      <c s="1853" t="s">
        <v>3185</v>
      </c>
      <c s="1853" t="s">
        <v>3186</v>
      </c>
      <c s="1853" t="s">
        <v>3187</v>
      </c>
      <c s="1853" t="s">
        <v>22</v>
      </c>
      <c s="1853" t="s">
        <v>22</v>
      </c>
      <c s="1853" t="s">
        <v>894</v>
      </c>
    </row>
    <row r="446" spans="1:9" ht="11.25" customHeight="1">
      <c r="A446" s="1853" t="s">
        <v>2247</v>
      </c>
      <c s="1853" t="s">
        <v>16</v>
      </c>
      <c s="1853" t="s">
        <v>3196</v>
      </c>
      <c s="1853" t="s">
        <v>3197</v>
      </c>
      <c s="1853" t="s">
        <v>3198</v>
      </c>
      <c s="1853" t="s">
        <v>51</v>
      </c>
      <c s="1853" t="s">
        <v>3199</v>
      </c>
      <c s="1853" t="s">
        <v>22</v>
      </c>
      <c s="1853" t="s">
        <v>894</v>
      </c>
    </row>
    <row r="447" spans="1:9" ht="11.25" customHeight="1">
      <c r="A447" s="1853" t="s">
        <v>2247</v>
      </c>
      <c s="1853" t="s">
        <v>16</v>
      </c>
      <c s="1853" t="s">
        <v>3200</v>
      </c>
      <c s="1853" t="s">
        <v>3201</v>
      </c>
      <c s="1853" t="s">
        <v>3202</v>
      </c>
      <c s="1853" t="s">
        <v>3203</v>
      </c>
      <c s="1853" t="s">
        <v>22</v>
      </c>
      <c s="1853" t="s">
        <v>22</v>
      </c>
      <c s="1853" t="s">
        <v>894</v>
      </c>
    </row>
    <row r="448" spans="1:9" ht="11.25" customHeight="1">
      <c r="A448" s="1853" t="s">
        <v>2247</v>
      </c>
      <c s="1853" t="s">
        <v>16</v>
      </c>
      <c s="1853" t="s">
        <v>3211</v>
      </c>
      <c s="1853" t="s">
        <v>3212</v>
      </c>
      <c s="1853" t="s">
        <v>3213</v>
      </c>
      <c s="1853" t="s">
        <v>3214</v>
      </c>
      <c s="1853" t="s">
        <v>3215</v>
      </c>
      <c s="1853" t="s">
        <v>22</v>
      </c>
      <c s="1853" t="s">
        <v>894</v>
      </c>
    </row>
    <row r="449" spans="1:9" ht="11.25" customHeight="1">
      <c r="A449" s="1853" t="s">
        <v>2247</v>
      </c>
      <c s="1853" t="s">
        <v>16</v>
      </c>
      <c s="1853" t="s">
        <v>3224</v>
      </c>
      <c s="1853" t="s">
        <v>3225</v>
      </c>
      <c s="1853" t="s">
        <v>3226</v>
      </c>
      <c s="1853" t="s">
        <v>2620</v>
      </c>
      <c s="1853" t="s">
        <v>22</v>
      </c>
      <c s="1853" t="s">
        <v>22</v>
      </c>
      <c s="1853" t="s">
        <v>894</v>
      </c>
    </row>
    <row r="450" spans="1:9" ht="11.25" customHeight="1">
      <c r="A450" s="1853" t="s">
        <v>2247</v>
      </c>
      <c s="1853" t="s">
        <v>16</v>
      </c>
      <c s="1853" t="s">
        <v>3240</v>
      </c>
      <c s="1853" t="s">
        <v>3241</v>
      </c>
      <c s="1853" t="s">
        <v>3242</v>
      </c>
      <c s="1853" t="s">
        <v>2256</v>
      </c>
      <c s="1853" t="s">
        <v>3243</v>
      </c>
      <c s="1853" t="s">
        <v>22</v>
      </c>
      <c s="1853" t="s">
        <v>894</v>
      </c>
    </row>
    <row r="451" spans="1:9" ht="11.25" customHeight="1">
      <c r="A451" s="1853" t="s">
        <v>2247</v>
      </c>
      <c s="1853" t="s">
        <v>16</v>
      </c>
      <c s="1853" t="s">
        <v>3248</v>
      </c>
      <c s="1853" t="s">
        <v>3249</v>
      </c>
      <c s="1853" t="s">
        <v>3250</v>
      </c>
      <c s="1853" t="s">
        <v>2348</v>
      </c>
      <c s="1853" t="s">
        <v>22</v>
      </c>
      <c s="1853" t="s">
        <v>22</v>
      </c>
      <c s="1853" t="s">
        <v>894</v>
      </c>
    </row>
    <row r="452" spans="1:9" ht="11.25" customHeight="1">
      <c r="A452" s="1853" t="s">
        <v>2247</v>
      </c>
      <c s="1853" t="s">
        <v>16</v>
      </c>
      <c s="1853" t="s">
        <v>3255</v>
      </c>
      <c s="1853" t="s">
        <v>3256</v>
      </c>
      <c s="1853" t="s">
        <v>3257</v>
      </c>
      <c s="1853" t="s">
        <v>2362</v>
      </c>
      <c s="1853" t="s">
        <v>22</v>
      </c>
      <c s="1853" t="s">
        <v>22</v>
      </c>
      <c s="1853" t="s">
        <v>894</v>
      </c>
    </row>
    <row r="453" spans="1:9" ht="11.25" customHeight="1">
      <c r="A453" s="1853" t="s">
        <v>2247</v>
      </c>
      <c s="1853" t="s">
        <v>16</v>
      </c>
      <c s="1853" t="s">
        <v>3258</v>
      </c>
      <c s="1853" t="s">
        <v>3259</v>
      </c>
      <c s="1853" t="s">
        <v>3260</v>
      </c>
      <c s="1853" t="s">
        <v>51</v>
      </c>
      <c s="1853" t="s">
        <v>3261</v>
      </c>
      <c s="1853" t="s">
        <v>22</v>
      </c>
      <c s="1853" t="s">
        <v>894</v>
      </c>
    </row>
    <row r="454" spans="1:9" ht="11.25" customHeight="1">
      <c r="A454" s="1853" t="s">
        <v>2247</v>
      </c>
      <c s="1853" t="s">
        <v>16</v>
      </c>
      <c s="1853" t="s">
        <v>3262</v>
      </c>
      <c s="1853" t="s">
        <v>3263</v>
      </c>
      <c s="1853" t="s">
        <v>3264</v>
      </c>
      <c s="1853" t="s">
        <v>3265</v>
      </c>
      <c s="1853" t="s">
        <v>3266</v>
      </c>
      <c s="1853" t="s">
        <v>22</v>
      </c>
      <c s="1853" t="s">
        <v>894</v>
      </c>
    </row>
    <row r="455" spans="1:9" ht="11.25" customHeight="1">
      <c r="A455" s="1853" t="s">
        <v>2247</v>
      </c>
      <c s="1853" t="s">
        <v>16</v>
      </c>
      <c s="1853" t="s">
        <v>3267</v>
      </c>
      <c s="1853" t="s">
        <v>3268</v>
      </c>
      <c s="1853" t="s">
        <v>3269</v>
      </c>
      <c s="1853" t="s">
        <v>2328</v>
      </c>
      <c s="1853" t="s">
        <v>22</v>
      </c>
      <c s="1853" t="s">
        <v>22</v>
      </c>
      <c s="1853" t="s">
        <v>894</v>
      </c>
    </row>
    <row r="456" spans="1:9" ht="11.25" customHeight="1">
      <c r="A456" s="1853" t="s">
        <v>2247</v>
      </c>
      <c s="1853" t="s">
        <v>16</v>
      </c>
      <c s="1853" t="s">
        <v>3273</v>
      </c>
      <c s="1853" t="s">
        <v>3274</v>
      </c>
      <c s="1853" t="s">
        <v>3275</v>
      </c>
      <c s="1853" t="s">
        <v>51</v>
      </c>
      <c s="1853" t="s">
        <v>3276</v>
      </c>
      <c s="1853" t="s">
        <v>22</v>
      </c>
      <c s="1853" t="s">
        <v>894</v>
      </c>
    </row>
    <row r="457" spans="1:9" ht="11.25" customHeight="1">
      <c r="A457" s="1853" t="s">
        <v>2247</v>
      </c>
      <c s="1853" t="s">
        <v>16</v>
      </c>
      <c s="1853" t="s">
        <v>3291</v>
      </c>
      <c s="1853" t="s">
        <v>3292</v>
      </c>
      <c s="1853" t="s">
        <v>3293</v>
      </c>
      <c s="1853" t="s">
        <v>51</v>
      </c>
      <c s="1853" t="s">
        <v>3294</v>
      </c>
      <c s="1853" t="s">
        <v>22</v>
      </c>
      <c s="1853" t="s">
        <v>894</v>
      </c>
    </row>
    <row r="458" spans="1:9" ht="11.25" customHeight="1">
      <c r="A458" s="1853" t="s">
        <v>2247</v>
      </c>
      <c s="1853" t="s">
        <v>16</v>
      </c>
      <c s="1853" t="s">
        <v>3295</v>
      </c>
      <c s="1853" t="s">
        <v>3296</v>
      </c>
      <c s="1853" t="s">
        <v>3297</v>
      </c>
      <c s="1853" t="s">
        <v>2639</v>
      </c>
      <c s="1853" t="s">
        <v>22</v>
      </c>
      <c s="1853" t="s">
        <v>22</v>
      </c>
      <c s="1853" t="s">
        <v>894</v>
      </c>
    </row>
    <row r="459" spans="1:9" ht="11.25" customHeight="1">
      <c r="A459" s="1853" t="s">
        <v>2247</v>
      </c>
      <c s="1853" t="s">
        <v>16</v>
      </c>
      <c s="1853" t="s">
        <v>3298</v>
      </c>
      <c s="1853" t="s">
        <v>3299</v>
      </c>
      <c s="1853" t="s">
        <v>3300</v>
      </c>
      <c s="1853" t="s">
        <v>2251</v>
      </c>
      <c s="1853" t="s">
        <v>3301</v>
      </c>
      <c s="1853" t="s">
        <v>22</v>
      </c>
      <c s="1853" t="s">
        <v>894</v>
      </c>
    </row>
    <row r="460" spans="1:9" ht="11.25" customHeight="1">
      <c r="A460" s="1853" t="s">
        <v>2247</v>
      </c>
      <c s="1853" t="s">
        <v>16</v>
      </c>
      <c s="1853" t="s">
        <v>3306</v>
      </c>
      <c s="1853" t="s">
        <v>3307</v>
      </c>
      <c s="1853" t="s">
        <v>3308</v>
      </c>
      <c s="1853" t="s">
        <v>2251</v>
      </c>
      <c s="1853" t="s">
        <v>3309</v>
      </c>
      <c s="1853" t="s">
        <v>22</v>
      </c>
      <c s="1853" t="s">
        <v>894</v>
      </c>
    </row>
    <row r="461" spans="1:9" ht="11.25" customHeight="1">
      <c r="A461" s="1853" t="s">
        <v>2247</v>
      </c>
      <c s="1853" t="s">
        <v>16</v>
      </c>
      <c s="1853" t="s">
        <v>3313</v>
      </c>
      <c s="1853" t="s">
        <v>3314</v>
      </c>
      <c s="1853" t="s">
        <v>3315</v>
      </c>
      <c s="1853" t="s">
        <v>2265</v>
      </c>
      <c s="1853" t="s">
        <v>22</v>
      </c>
      <c s="1853" t="s">
        <v>22</v>
      </c>
      <c s="1853" t="s">
        <v>894</v>
      </c>
    </row>
    <row r="462" spans="1:9" ht="11.25" customHeight="1">
      <c r="A462" s="1853" t="s">
        <v>2247</v>
      </c>
      <c s="1853" t="s">
        <v>16</v>
      </c>
      <c s="1853" t="s">
        <v>3316</v>
      </c>
      <c s="1853" t="s">
        <v>3317</v>
      </c>
      <c s="1853" t="s">
        <v>3318</v>
      </c>
      <c s="1853" t="s">
        <v>51</v>
      </c>
      <c s="1853" t="s">
        <v>3319</v>
      </c>
      <c s="1853" t="s">
        <v>22</v>
      </c>
      <c s="1853" t="s">
        <v>894</v>
      </c>
    </row>
    <row r="463" spans="1:9" ht="11.25" customHeight="1">
      <c r="A463" s="1853" t="s">
        <v>2247</v>
      </c>
      <c s="1853" t="s">
        <v>16</v>
      </c>
      <c s="1853" t="s">
        <v>3348</v>
      </c>
      <c s="1853" t="s">
        <v>3349</v>
      </c>
      <c s="1853" t="s">
        <v>3350</v>
      </c>
      <c s="1853" t="s">
        <v>2395</v>
      </c>
      <c s="1853" t="s">
        <v>3351</v>
      </c>
      <c s="1853" t="s">
        <v>22</v>
      </c>
      <c s="1853" t="s">
        <v>894</v>
      </c>
    </row>
    <row r="464" spans="1:9" ht="11.25" customHeight="1">
      <c r="A464" s="1853" t="s">
        <v>2247</v>
      </c>
      <c s="1853" t="s">
        <v>16</v>
      </c>
      <c s="1853" t="s">
        <v>3352</v>
      </c>
      <c s="1853" t="s">
        <v>3353</v>
      </c>
      <c s="1853" t="s">
        <v>3354</v>
      </c>
      <c s="1853" t="s">
        <v>51</v>
      </c>
      <c s="1853" t="s">
        <v>3355</v>
      </c>
      <c s="1853" t="s">
        <v>22</v>
      </c>
      <c s="1853" t="s">
        <v>894</v>
      </c>
    </row>
    <row r="465" spans="1:9" ht="11.25" customHeight="1">
      <c r="A465" s="1853" t="s">
        <v>2247</v>
      </c>
      <c s="1853" t="s">
        <v>16</v>
      </c>
      <c s="1853" t="s">
        <v>3356</v>
      </c>
      <c s="1853" t="s">
        <v>3357</v>
      </c>
      <c s="1853" t="s">
        <v>3358</v>
      </c>
      <c s="1853" t="s">
        <v>2395</v>
      </c>
      <c s="1853" t="s">
        <v>3359</v>
      </c>
      <c s="1853" t="s">
        <v>22</v>
      </c>
      <c s="1853" t="s">
        <v>894</v>
      </c>
    </row>
    <row r="466" spans="1:9" ht="11.25" customHeight="1">
      <c r="A466" s="1853" t="s">
        <v>2247</v>
      </c>
      <c s="1853" t="s">
        <v>16</v>
      </c>
      <c s="1853" t="s">
        <v>3559</v>
      </c>
      <c s="1853" t="s">
        <v>3560</v>
      </c>
      <c s="1853" t="s">
        <v>2278</v>
      </c>
      <c s="1853" t="s">
        <v>3561</v>
      </c>
      <c s="1853" t="s">
        <v>3562</v>
      </c>
      <c s="1853" t="s">
        <v>22</v>
      </c>
      <c s="1853" t="s">
        <v>894</v>
      </c>
    </row>
    <row r="467" spans="1:9" ht="11.25" customHeight="1">
      <c r="A467" s="1853" t="s">
        <v>2247</v>
      </c>
      <c s="1853" t="s">
        <v>16</v>
      </c>
      <c s="1853" t="s">
        <v>3364</v>
      </c>
      <c s="1853" t="s">
        <v>3365</v>
      </c>
      <c s="1853" t="s">
        <v>3366</v>
      </c>
      <c s="1853" t="s">
        <v>3367</v>
      </c>
      <c s="1853" t="s">
        <v>22</v>
      </c>
      <c s="1853" t="s">
        <v>22</v>
      </c>
      <c s="1853" t="s">
        <v>894</v>
      </c>
    </row>
    <row r="468" spans="1:9" ht="11.25" customHeight="1">
      <c r="A468" s="1853" t="s">
        <v>2247</v>
      </c>
      <c s="1853" t="s">
        <v>16</v>
      </c>
      <c s="1853" t="s">
        <v>3368</v>
      </c>
      <c s="1853" t="s">
        <v>3369</v>
      </c>
      <c s="1853" t="s">
        <v>3370</v>
      </c>
      <c s="1853" t="s">
        <v>2391</v>
      </c>
      <c s="1853" t="s">
        <v>3371</v>
      </c>
      <c s="1853" t="s">
        <v>22</v>
      </c>
      <c s="1853" t="s">
        <v>894</v>
      </c>
    </row>
    <row r="469" spans="1:9" ht="11.25" customHeight="1">
      <c r="A469" s="1853" t="s">
        <v>2247</v>
      </c>
      <c s="1853" t="s">
        <v>16</v>
      </c>
      <c s="1853" t="s">
        <v>3378</v>
      </c>
      <c s="1853" t="s">
        <v>3379</v>
      </c>
      <c s="1853" t="s">
        <v>3380</v>
      </c>
      <c s="1853" t="s">
        <v>3381</v>
      </c>
      <c s="1853" t="s">
        <v>22</v>
      </c>
      <c s="1853" t="s">
        <v>22</v>
      </c>
      <c s="1853" t="s">
        <v>894</v>
      </c>
    </row>
    <row r="470" spans="1:9" ht="11.25" customHeight="1">
      <c r="A470" s="1853" t="s">
        <v>2247</v>
      </c>
      <c s="1853" t="s">
        <v>16</v>
      </c>
      <c s="1853" t="s">
        <v>3385</v>
      </c>
      <c s="1853" t="s">
        <v>3386</v>
      </c>
      <c s="1853" t="s">
        <v>3387</v>
      </c>
      <c s="1853" t="s">
        <v>3388</v>
      </c>
      <c s="1853" t="s">
        <v>3389</v>
      </c>
      <c s="1853" t="s">
        <v>22</v>
      </c>
      <c s="1853" t="s">
        <v>894</v>
      </c>
    </row>
    <row r="471" spans="1:9" ht="11.25" customHeight="1">
      <c r="A471" s="1853" t="s">
        <v>2247</v>
      </c>
      <c s="1853" t="s">
        <v>16</v>
      </c>
      <c s="1853" t="s">
        <v>3390</v>
      </c>
      <c s="1853" t="s">
        <v>3391</v>
      </c>
      <c s="1853" t="s">
        <v>3392</v>
      </c>
      <c s="1853" t="s">
        <v>3393</v>
      </c>
      <c s="1853" t="s">
        <v>22</v>
      </c>
      <c s="1853" t="s">
        <v>22</v>
      </c>
      <c s="1853" t="s">
        <v>894</v>
      </c>
    </row>
    <row r="472" spans="1:9" ht="11.25" customHeight="1">
      <c r="A472" s="1853" t="s">
        <v>2247</v>
      </c>
      <c s="1853" t="s">
        <v>16</v>
      </c>
      <c s="1853" t="s">
        <v>3394</v>
      </c>
      <c s="1853" t="s">
        <v>3395</v>
      </c>
      <c s="1853" t="s">
        <v>3396</v>
      </c>
      <c s="1853" t="s">
        <v>3397</v>
      </c>
      <c s="1853" t="s">
        <v>3398</v>
      </c>
      <c s="1853" t="s">
        <v>22</v>
      </c>
      <c s="1853" t="s">
        <v>894</v>
      </c>
    </row>
    <row r="473" spans="1:9" ht="11.25" customHeight="1">
      <c r="A473" s="1853" t="s">
        <v>2247</v>
      </c>
      <c s="1853" t="s">
        <v>16</v>
      </c>
      <c s="1853" t="s">
        <v>3399</v>
      </c>
      <c s="1853" t="s">
        <v>3400</v>
      </c>
      <c s="1853" t="s">
        <v>3401</v>
      </c>
      <c s="1853" t="s">
        <v>2362</v>
      </c>
      <c s="1853" t="s">
        <v>22</v>
      </c>
      <c s="1853" t="s">
        <v>22</v>
      </c>
      <c s="1853" t="s">
        <v>894</v>
      </c>
    </row>
    <row r="474" spans="1:9" ht="11.25" customHeight="1">
      <c r="A474" s="1853" t="s">
        <v>2247</v>
      </c>
      <c s="1853" t="s">
        <v>16</v>
      </c>
      <c s="1853" t="s">
        <v>3406</v>
      </c>
      <c s="1853" t="s">
        <v>3407</v>
      </c>
      <c s="1853" t="s">
        <v>2436</v>
      </c>
      <c s="1853" t="s">
        <v>2412</v>
      </c>
      <c s="1853" t="s">
        <v>2438</v>
      </c>
      <c s="1853" t="s">
        <v>22</v>
      </c>
      <c s="1853" t="s">
        <v>894</v>
      </c>
    </row>
    <row r="475" spans="1:9" ht="11.25" customHeight="1">
      <c r="A475" s="1853" t="s">
        <v>2247</v>
      </c>
      <c s="1853" t="s">
        <v>16</v>
      </c>
      <c s="1853" t="s">
        <v>3408</v>
      </c>
      <c s="1853" t="s">
        <v>3409</v>
      </c>
      <c s="1853" t="s">
        <v>3410</v>
      </c>
      <c s="1853" t="s">
        <v>2335</v>
      </c>
      <c s="1853" t="s">
        <v>22</v>
      </c>
      <c s="1853" t="s">
        <v>22</v>
      </c>
      <c s="1853" t="s">
        <v>894</v>
      </c>
    </row>
    <row r="476" spans="1:9" ht="11.25" customHeight="1">
      <c r="A476" s="1853" t="s">
        <v>2247</v>
      </c>
      <c s="1853" t="s">
        <v>16</v>
      </c>
      <c s="1853" t="s">
        <v>3411</v>
      </c>
      <c s="1853" t="s">
        <v>3412</v>
      </c>
      <c s="1853" t="s">
        <v>3413</v>
      </c>
      <c s="1853" t="s">
        <v>2395</v>
      </c>
      <c s="1853" t="s">
        <v>3414</v>
      </c>
      <c s="1853" t="s">
        <v>22</v>
      </c>
      <c s="1853" t="s">
        <v>894</v>
      </c>
    </row>
    <row r="477" spans="1:9" ht="11.25" customHeight="1">
      <c r="A477" s="1853" t="s">
        <v>2247</v>
      </c>
      <c s="1853" t="s">
        <v>16</v>
      </c>
      <c s="1853" t="s">
        <v>3415</v>
      </c>
      <c s="1853" t="s">
        <v>3416</v>
      </c>
      <c s="1853" t="s">
        <v>3417</v>
      </c>
      <c s="1853" t="s">
        <v>51</v>
      </c>
      <c s="1853" t="s">
        <v>3418</v>
      </c>
      <c s="1853" t="s">
        <v>22</v>
      </c>
      <c s="1853" t="s">
        <v>894</v>
      </c>
    </row>
    <row r="478" spans="1:9" ht="11.25" customHeight="1">
      <c r="A478" s="1853" t="s">
        <v>2247</v>
      </c>
      <c s="1853" t="s">
        <v>16</v>
      </c>
      <c s="1853" t="s">
        <v>3419</v>
      </c>
      <c s="1853" t="s">
        <v>3420</v>
      </c>
      <c s="1853" t="s">
        <v>3421</v>
      </c>
      <c s="1853" t="s">
        <v>2395</v>
      </c>
      <c s="1853" t="s">
        <v>2469</v>
      </c>
      <c s="1853" t="s">
        <v>22</v>
      </c>
      <c s="1853" t="s">
        <v>894</v>
      </c>
    </row>
    <row r="479" spans="1:9" ht="11.25" customHeight="1">
      <c r="A479" s="1853" t="s">
        <v>2247</v>
      </c>
      <c s="1853" t="s">
        <v>16</v>
      </c>
      <c s="1853" t="s">
        <v>3422</v>
      </c>
      <c s="1853" t="s">
        <v>3423</v>
      </c>
      <c s="1853" t="s">
        <v>3424</v>
      </c>
      <c s="1853" t="s">
        <v>51</v>
      </c>
      <c s="1853" t="s">
        <v>22</v>
      </c>
      <c s="1853" t="s">
        <v>22</v>
      </c>
      <c s="1853" t="s">
        <v>894</v>
      </c>
    </row>
    <row r="480" spans="1:9" ht="11.25" customHeight="1">
      <c r="A480" s="1853" t="s">
        <v>2247</v>
      </c>
      <c s="1853" t="s">
        <v>16</v>
      </c>
      <c s="1853" t="s">
        <v>3431</v>
      </c>
      <c s="1853" t="s">
        <v>3432</v>
      </c>
      <c s="1853" t="s">
        <v>3433</v>
      </c>
      <c s="1853" t="s">
        <v>2370</v>
      </c>
      <c s="1853" t="s">
        <v>22</v>
      </c>
      <c s="1853" t="s">
        <v>22</v>
      </c>
      <c s="1853" t="s">
        <v>894</v>
      </c>
    </row>
    <row r="481" spans="1:9" ht="11.25" customHeight="1">
      <c r="A481" s="1853" t="s">
        <v>2247</v>
      </c>
      <c s="1853" t="s">
        <v>16</v>
      </c>
      <c s="1853" t="s">
        <v>3434</v>
      </c>
      <c s="1853" t="s">
        <v>3435</v>
      </c>
      <c s="1853" t="s">
        <v>3436</v>
      </c>
      <c s="1853" t="s">
        <v>3437</v>
      </c>
      <c s="1853" t="s">
        <v>22</v>
      </c>
      <c s="1853" t="s">
        <v>22</v>
      </c>
      <c s="1853" t="s">
        <v>894</v>
      </c>
    </row>
    <row r="482" spans="1:9" ht="11.25" customHeight="1">
      <c r="A482" s="1853" t="s">
        <v>2247</v>
      </c>
      <c s="1853" t="s">
        <v>16</v>
      </c>
      <c s="1853" t="s">
        <v>3442</v>
      </c>
      <c s="1853" t="s">
        <v>3443</v>
      </c>
      <c s="1853" t="s">
        <v>3444</v>
      </c>
      <c s="1853" t="s">
        <v>2391</v>
      </c>
      <c s="1853" t="s">
        <v>3445</v>
      </c>
      <c s="1853" t="s">
        <v>22</v>
      </c>
      <c s="1853" t="s">
        <v>894</v>
      </c>
    </row>
    <row r="483" spans="1:9" ht="11.25" customHeight="1">
      <c r="A483" s="1853" t="s">
        <v>2247</v>
      </c>
      <c s="1853" t="s">
        <v>16</v>
      </c>
      <c s="1853" t="s">
        <v>3446</v>
      </c>
      <c s="1853" t="s">
        <v>3447</v>
      </c>
      <c s="1853" t="s">
        <v>3448</v>
      </c>
      <c s="1853" t="s">
        <v>2370</v>
      </c>
      <c s="1853" t="s">
        <v>22</v>
      </c>
      <c s="1853" t="s">
        <v>22</v>
      </c>
      <c s="1853" t="s">
        <v>894</v>
      </c>
    </row>
    <row r="484" spans="1:9" ht="11.25" customHeight="1">
      <c r="A484" s="1853" t="s">
        <v>2247</v>
      </c>
      <c s="1853" t="s">
        <v>16</v>
      </c>
      <c s="1853" t="s">
        <v>3449</v>
      </c>
      <c s="1853" t="s">
        <v>3450</v>
      </c>
      <c s="1853" t="s">
        <v>3451</v>
      </c>
      <c s="1853" t="s">
        <v>2395</v>
      </c>
      <c s="1853" t="s">
        <v>3452</v>
      </c>
      <c s="1853" t="s">
        <v>22</v>
      </c>
      <c s="1853" t="s">
        <v>894</v>
      </c>
    </row>
    <row r="485" spans="1:9" ht="11.25" customHeight="1">
      <c r="A485" s="1853" t="s">
        <v>2247</v>
      </c>
      <c s="1853" t="s">
        <v>16</v>
      </c>
      <c s="1853" t="s">
        <v>3453</v>
      </c>
      <c s="1853" t="s">
        <v>3454</v>
      </c>
      <c s="1853" t="s">
        <v>3455</v>
      </c>
      <c s="1853" t="s">
        <v>51</v>
      </c>
      <c s="1853" t="s">
        <v>3456</v>
      </c>
      <c s="1853" t="s">
        <v>22</v>
      </c>
      <c s="1853" t="s">
        <v>894</v>
      </c>
    </row>
    <row r="486" spans="1:9" ht="11.25" customHeight="1">
      <c r="A486" s="1853" t="s">
        <v>2247</v>
      </c>
      <c s="1853" t="s">
        <v>16</v>
      </c>
      <c s="1853" t="s">
        <v>3461</v>
      </c>
      <c s="1853" t="s">
        <v>3462</v>
      </c>
      <c s="1853" t="s">
        <v>3463</v>
      </c>
      <c s="1853" t="s">
        <v>2362</v>
      </c>
      <c s="1853" t="s">
        <v>22</v>
      </c>
      <c s="1853" t="s">
        <v>22</v>
      </c>
      <c s="1853" t="s">
        <v>894</v>
      </c>
    </row>
    <row r="487" spans="1:9" ht="11.25" customHeight="1">
      <c r="A487" s="1853" t="s">
        <v>2247</v>
      </c>
      <c s="1853" t="s">
        <v>16</v>
      </c>
      <c s="1853" t="s">
        <v>3467</v>
      </c>
      <c s="1853" t="s">
        <v>3468</v>
      </c>
      <c s="1853" t="s">
        <v>3469</v>
      </c>
      <c s="1853" t="s">
        <v>2362</v>
      </c>
      <c s="1853" t="s">
        <v>22</v>
      </c>
      <c s="1853" t="s">
        <v>22</v>
      </c>
      <c s="1853" t="s">
        <v>894</v>
      </c>
    </row>
    <row r="488" spans="1:9" ht="11.25" customHeight="1">
      <c r="A488" s="1853" t="s">
        <v>2247</v>
      </c>
      <c s="1853" t="s">
        <v>16</v>
      </c>
      <c s="1853" t="s">
        <v>3470</v>
      </c>
      <c s="1853" t="s">
        <v>3471</v>
      </c>
      <c s="1853" t="s">
        <v>3472</v>
      </c>
      <c s="1853" t="s">
        <v>2362</v>
      </c>
      <c s="1853" t="s">
        <v>22</v>
      </c>
      <c s="1853" t="s">
        <v>22</v>
      </c>
      <c s="1853" t="s">
        <v>894</v>
      </c>
    </row>
    <row r="489" spans="1:9" ht="11.25" customHeight="1">
      <c r="A489" s="1853" t="s">
        <v>2247</v>
      </c>
      <c s="1853" t="s">
        <v>16</v>
      </c>
      <c s="1853" t="s">
        <v>3473</v>
      </c>
      <c s="1853" t="s">
        <v>3474</v>
      </c>
      <c s="1853" t="s">
        <v>3475</v>
      </c>
      <c s="1853" t="s">
        <v>2395</v>
      </c>
      <c s="1853" t="s">
        <v>3476</v>
      </c>
      <c s="1853" t="s">
        <v>22</v>
      </c>
      <c s="1853" t="s">
        <v>894</v>
      </c>
    </row>
    <row r="490" spans="1:9" ht="11.25" customHeight="1">
      <c r="A490" s="1853" t="s">
        <v>2247</v>
      </c>
      <c s="1853" t="s">
        <v>16</v>
      </c>
      <c s="1853" t="s">
        <v>3480</v>
      </c>
      <c s="1853" t="s">
        <v>3481</v>
      </c>
      <c s="1853" t="s">
        <v>3095</v>
      </c>
      <c s="1853" t="s">
        <v>3482</v>
      </c>
      <c s="1853" t="s">
        <v>3483</v>
      </c>
      <c s="1853" t="s">
        <v>22</v>
      </c>
      <c s="1853" t="s">
        <v>894</v>
      </c>
    </row>
    <row r="491" spans="1:9" ht="11.25" customHeight="1">
      <c r="A491" s="1853" t="s">
        <v>2247</v>
      </c>
      <c s="1853" t="s">
        <v>16</v>
      </c>
      <c s="1853" t="s">
        <v>3484</v>
      </c>
      <c s="1853" t="s">
        <v>3485</v>
      </c>
      <c s="1853" t="s">
        <v>2849</v>
      </c>
      <c s="1853" t="s">
        <v>3486</v>
      </c>
      <c s="1853" t="s">
        <v>3487</v>
      </c>
      <c s="1853" t="s">
        <v>22</v>
      </c>
      <c s="1853" t="s">
        <v>894</v>
      </c>
    </row>
    <row r="492" spans="1:9" ht="11.25" customHeight="1">
      <c r="A492" s="1853" t="s">
        <v>2247</v>
      </c>
      <c s="1853" t="s">
        <v>16</v>
      </c>
      <c s="1853" t="s">
        <v>3488</v>
      </c>
      <c s="1853" t="s">
        <v>3489</v>
      </c>
      <c s="1853" t="s">
        <v>3264</v>
      </c>
      <c s="1853" t="s">
        <v>3486</v>
      </c>
      <c s="1853" t="s">
        <v>3490</v>
      </c>
      <c s="1853" t="s">
        <v>22</v>
      </c>
      <c s="1853" t="s">
        <v>894</v>
      </c>
    </row>
    <row r="493" spans="1:9" ht="11.25" customHeight="1">
      <c r="A493" s="1853" t="s">
        <v>2247</v>
      </c>
      <c s="1853" t="s">
        <v>16</v>
      </c>
      <c s="1853" t="s">
        <v>3491</v>
      </c>
      <c s="1853" t="s">
        <v>3492</v>
      </c>
      <c s="1853" t="s">
        <v>3366</v>
      </c>
      <c s="1853" t="s">
        <v>2328</v>
      </c>
      <c s="1853" t="s">
        <v>22</v>
      </c>
      <c s="1853" t="s">
        <v>22</v>
      </c>
      <c s="1853" t="s">
        <v>894</v>
      </c>
    </row>
    <row r="494" spans="1:9" ht="11.25" customHeight="1">
      <c r="A494" s="1853" t="s">
        <v>2247</v>
      </c>
      <c s="1853" t="s">
        <v>16</v>
      </c>
      <c s="1853" t="s">
        <v>3497</v>
      </c>
      <c s="1853" t="s">
        <v>3498</v>
      </c>
      <c s="1853" t="s">
        <v>3499</v>
      </c>
      <c s="1853" t="s">
        <v>3500</v>
      </c>
      <c s="1853" t="s">
        <v>3501</v>
      </c>
      <c s="1853" t="s">
        <v>22</v>
      </c>
      <c s="1853" t="s">
        <v>894</v>
      </c>
    </row>
    <row r="495" spans="1:9" ht="11.25" customHeight="1">
      <c r="A495" s="1853" t="s">
        <v>2247</v>
      </c>
      <c s="1853" t="s">
        <v>16</v>
      </c>
      <c s="1853" t="s">
        <v>3502</v>
      </c>
      <c s="1853" t="s">
        <v>3503</v>
      </c>
      <c s="1853" t="s">
        <v>3499</v>
      </c>
      <c s="1853" t="s">
        <v>2543</v>
      </c>
      <c s="1853" t="s">
        <v>22</v>
      </c>
      <c s="1853" t="s">
        <v>22</v>
      </c>
      <c s="1853" t="s">
        <v>894</v>
      </c>
    </row>
    <row r="496" spans="1:9" ht="11.25" customHeight="1">
      <c r="A496" s="1853" t="s">
        <v>2247</v>
      </c>
      <c s="1853" t="s">
        <v>16</v>
      </c>
      <c s="1853" t="s">
        <v>3504</v>
      </c>
      <c s="1853" t="s">
        <v>3505</v>
      </c>
      <c s="1853" t="s">
        <v>3499</v>
      </c>
      <c s="1853" t="s">
        <v>3506</v>
      </c>
      <c s="1853" t="s">
        <v>3507</v>
      </c>
      <c s="1853" t="s">
        <v>22</v>
      </c>
      <c s="1853" t="s">
        <v>894</v>
      </c>
    </row>
    <row r="497" spans="1:9" ht="11.25" customHeight="1">
      <c r="A497" s="1853" t="s">
        <v>2247</v>
      </c>
      <c s="1853" t="s">
        <v>16</v>
      </c>
      <c s="1853" t="s">
        <v>3513</v>
      </c>
      <c s="1853" t="s">
        <v>3514</v>
      </c>
      <c s="1853" t="s">
        <v>3515</v>
      </c>
      <c s="1853" t="s">
        <v>3516</v>
      </c>
      <c s="1853" t="s">
        <v>3517</v>
      </c>
      <c s="1853" t="s">
        <v>22</v>
      </c>
      <c s="1853" t="s">
        <v>894</v>
      </c>
    </row>
    <row r="498" spans="1:9" ht="11.25" customHeight="1">
      <c r="A498" s="1853" t="s">
        <v>2247</v>
      </c>
      <c s="1853" t="s">
        <v>16</v>
      </c>
      <c s="1853" t="s">
        <v>3518</v>
      </c>
      <c s="1853" t="s">
        <v>3519</v>
      </c>
      <c s="1853" t="s">
        <v>2937</v>
      </c>
      <c s="1853" t="s">
        <v>3520</v>
      </c>
      <c s="1853" t="s">
        <v>22</v>
      </c>
      <c s="1853" t="s">
        <v>22</v>
      </c>
      <c s="1853" t="s">
        <v>894</v>
      </c>
    </row>
    <row r="499" spans="1:9" ht="11.25" customHeight="1">
      <c r="A499" s="1853" t="s">
        <v>2247</v>
      </c>
      <c s="1853" t="s">
        <v>16</v>
      </c>
      <c s="1853" t="s">
        <v>3521</v>
      </c>
      <c s="1853" t="s">
        <v>3522</v>
      </c>
      <c s="1853" t="s">
        <v>2995</v>
      </c>
      <c s="1853" t="s">
        <v>2432</v>
      </c>
      <c s="1853" t="s">
        <v>3523</v>
      </c>
      <c s="1853" t="s">
        <v>22</v>
      </c>
      <c s="1853" t="s">
        <v>894</v>
      </c>
    </row>
    <row r="500" spans="1:9" ht="11.25" customHeight="1">
      <c r="A500" s="1853" t="s">
        <v>2247</v>
      </c>
      <c s="1853" t="s">
        <v>16</v>
      </c>
      <c s="1853" t="s">
        <v>3524</v>
      </c>
      <c s="1853" t="s">
        <v>3525</v>
      </c>
      <c s="1853" t="s">
        <v>2995</v>
      </c>
      <c s="1853" t="s">
        <v>3526</v>
      </c>
      <c s="1853" t="s">
        <v>3527</v>
      </c>
      <c s="1853" t="s">
        <v>22</v>
      </c>
      <c s="1853" t="s">
        <v>894</v>
      </c>
    </row>
    <row r="501" spans="1:9" ht="11.25" customHeight="1">
      <c r="A501" s="1853" t="s">
        <v>2247</v>
      </c>
      <c s="1853" t="s">
        <v>16</v>
      </c>
      <c s="1853" t="s">
        <v>3532</v>
      </c>
      <c s="1853" t="s">
        <v>3533</v>
      </c>
      <c s="1853" t="s">
        <v>3264</v>
      </c>
      <c s="1853" t="s">
        <v>3534</v>
      </c>
      <c s="1853" t="s">
        <v>3266</v>
      </c>
      <c s="1853" t="s">
        <v>22</v>
      </c>
      <c s="1853" t="s">
        <v>894</v>
      </c>
    </row>
    <row r="502" spans="1:9" ht="11.25" customHeight="1">
      <c r="A502" s="1853" t="s">
        <v>2247</v>
      </c>
      <c s="1853" t="s">
        <v>16</v>
      </c>
      <c s="1853" t="s">
        <v>3535</v>
      </c>
      <c s="1853" t="s">
        <v>3536</v>
      </c>
      <c s="1853" t="s">
        <v>2849</v>
      </c>
      <c s="1853" t="s">
        <v>2355</v>
      </c>
      <c s="1853" t="s">
        <v>22</v>
      </c>
      <c s="1853" t="s">
        <v>22</v>
      </c>
      <c s="1853" t="s">
        <v>894</v>
      </c>
    </row>
    <row r="503" spans="1:9" ht="11.25" customHeight="1">
      <c r="A503" s="1853" t="s">
        <v>2247</v>
      </c>
      <c s="1853" t="s">
        <v>16</v>
      </c>
      <c s="1853" t="s">
        <v>3540</v>
      </c>
      <c s="1853" t="s">
        <v>3541</v>
      </c>
      <c s="1853" t="s">
        <v>3499</v>
      </c>
      <c s="1853" t="s">
        <v>2783</v>
      </c>
      <c s="1853" t="s">
        <v>22</v>
      </c>
      <c s="1853" t="s">
        <v>22</v>
      </c>
      <c s="1853" t="s">
        <v>894</v>
      </c>
    </row>
    <row r="504" spans="1:9" ht="11.25" customHeight="1">
      <c r="A504" s="1853" t="s">
        <v>2247</v>
      </c>
      <c s="1853" t="s">
        <v>16</v>
      </c>
      <c s="1853" t="s">
        <v>3542</v>
      </c>
      <c s="1853" t="s">
        <v>3543</v>
      </c>
      <c s="1853" t="s">
        <v>3499</v>
      </c>
      <c s="1853" t="s">
        <v>3544</v>
      </c>
      <c s="1853" t="s">
        <v>3545</v>
      </c>
      <c s="1853" t="s">
        <v>22</v>
      </c>
      <c s="1853" t="s">
        <v>894</v>
      </c>
    </row>
    <row r="505" spans="1:9" ht="11.25" customHeight="1">
      <c r="A505" s="1853" t="s">
        <v>2247</v>
      </c>
      <c s="1853" t="s">
        <v>16</v>
      </c>
      <c s="1853" t="s">
        <v>3546</v>
      </c>
      <c s="1853" t="s">
        <v>3547</v>
      </c>
      <c s="1853" t="s">
        <v>2358</v>
      </c>
      <c s="1853" t="s">
        <v>2786</v>
      </c>
      <c s="1853" t="s">
        <v>22</v>
      </c>
      <c s="1853" t="s">
        <v>22</v>
      </c>
      <c s="1853" t="s">
        <v>894</v>
      </c>
    </row>
    <row r="506" spans="1:9" ht="11.25" customHeight="1">
      <c r="A506" s="1853" t="s">
        <v>2247</v>
      </c>
      <c s="1853" t="s">
        <v>16</v>
      </c>
      <c s="1853" t="s">
        <v>3548</v>
      </c>
      <c s="1853" t="s">
        <v>3549</v>
      </c>
      <c s="1853" t="s">
        <v>2995</v>
      </c>
      <c s="1853" t="s">
        <v>2437</v>
      </c>
      <c s="1853" t="s">
        <v>3550</v>
      </c>
      <c s="1853" t="s">
        <v>22</v>
      </c>
      <c s="1853" t="s">
        <v>894</v>
      </c>
    </row>
    <row r="507" spans="1:9" ht="11.25" customHeight="1">
      <c r="A507" s="1853" t="s">
        <v>2247</v>
      </c>
      <c s="1853" t="s">
        <v>16</v>
      </c>
      <c s="1853" t="s">
        <v>3556</v>
      </c>
      <c s="1853" t="s">
        <v>3557</v>
      </c>
      <c s="1853" t="s">
        <v>3558</v>
      </c>
      <c s="1853" t="s">
        <v>2838</v>
      </c>
      <c s="1853" t="s">
        <v>22</v>
      </c>
      <c s="1853" t="s">
        <v>22</v>
      </c>
      <c s="1853" t="s">
        <v>894</v>
      </c>
    </row>
    <row r="508" spans="1:9" ht="11.25" customHeight="1">
      <c r="A508" s="1853" t="s">
        <v>2247</v>
      </c>
      <c s="1853" t="s">
        <v>16</v>
      </c>
      <c s="1853" t="s">
        <v>3563</v>
      </c>
      <c s="1853" t="s">
        <v>3564</v>
      </c>
      <c s="1853" t="s">
        <v>3417</v>
      </c>
      <c s="1853" t="s">
        <v>3565</v>
      </c>
      <c s="1853" t="s">
        <v>3566</v>
      </c>
      <c s="1853" t="s">
        <v>22</v>
      </c>
      <c s="1853" t="s">
        <v>854</v>
      </c>
    </row>
    <row r="509" spans="1:9" ht="11.25" customHeight="1">
      <c r="A509" s="1853" t="s">
        <v>2247</v>
      </c>
      <c s="1853" t="s">
        <v>16</v>
      </c>
      <c s="1853" t="s">
        <v>3567</v>
      </c>
      <c s="1853" t="s">
        <v>3568</v>
      </c>
      <c s="1853" t="s">
        <v>3569</v>
      </c>
      <c s="1853" t="s">
        <v>3570</v>
      </c>
      <c s="1853" t="s">
        <v>22</v>
      </c>
      <c s="1853" t="s">
        <v>22</v>
      </c>
      <c s="1853" t="s">
        <v>854</v>
      </c>
    </row>
    <row r="510" spans="1:9" ht="11.25" customHeight="1">
      <c r="A510" s="1853" t="s">
        <v>2247</v>
      </c>
      <c s="1853" t="s">
        <v>16</v>
      </c>
      <c s="1853" t="s">
        <v>3571</v>
      </c>
      <c s="1853" t="s">
        <v>3572</v>
      </c>
      <c s="1853" t="s">
        <v>3573</v>
      </c>
      <c s="1853" t="s">
        <v>2260</v>
      </c>
      <c s="1853" t="s">
        <v>3574</v>
      </c>
      <c s="1853" t="s">
        <v>22</v>
      </c>
      <c s="1853" t="s">
        <v>854</v>
      </c>
    </row>
    <row r="511" spans="1:9" ht="11.25" customHeight="1">
      <c r="A511" s="1853" t="s">
        <v>2247</v>
      </c>
      <c s="1853" t="s">
        <v>16</v>
      </c>
      <c s="1853" t="s">
        <v>2248</v>
      </c>
      <c s="1853" t="s">
        <v>2249</v>
      </c>
      <c s="1853" t="s">
        <v>2250</v>
      </c>
      <c s="1853" t="s">
        <v>2251</v>
      </c>
      <c s="1853" t="s">
        <v>2252</v>
      </c>
      <c s="1853" t="s">
        <v>22</v>
      </c>
      <c s="1853" t="s">
        <v>854</v>
      </c>
    </row>
    <row r="512" spans="1:9" ht="11.25" customHeight="1">
      <c r="A512" s="1853" t="s">
        <v>2247</v>
      </c>
      <c s="1853" t="s">
        <v>16</v>
      </c>
      <c s="1853" t="s">
        <v>3575</v>
      </c>
      <c s="1853" t="s">
        <v>3576</v>
      </c>
      <c s="1853" t="s">
        <v>3577</v>
      </c>
      <c s="1853" t="s">
        <v>2620</v>
      </c>
      <c s="1853" t="s">
        <v>3578</v>
      </c>
      <c s="1853" t="s">
        <v>22</v>
      </c>
      <c s="1853" t="s">
        <v>854</v>
      </c>
    </row>
    <row r="513" spans="1:9" ht="11.25" customHeight="1">
      <c r="A513" s="1853" t="s">
        <v>2247</v>
      </c>
      <c s="1853" t="s">
        <v>16</v>
      </c>
      <c s="1853" t="s">
        <v>3579</v>
      </c>
      <c s="1853" t="s">
        <v>3580</v>
      </c>
      <c s="1853" t="s">
        <v>3581</v>
      </c>
      <c s="1853" t="s">
        <v>2270</v>
      </c>
      <c s="1853" t="s">
        <v>22</v>
      </c>
      <c s="1853" t="s">
        <v>22</v>
      </c>
      <c s="1853" t="s">
        <v>854</v>
      </c>
    </row>
    <row r="514" spans="1:9" ht="11.25" customHeight="1">
      <c r="A514" s="1853" t="s">
        <v>2247</v>
      </c>
      <c s="1853" t="s">
        <v>16</v>
      </c>
      <c s="1853" t="s">
        <v>3582</v>
      </c>
      <c s="1853" t="s">
        <v>3583</v>
      </c>
      <c s="1853" t="s">
        <v>3584</v>
      </c>
      <c s="1853" t="s">
        <v>3585</v>
      </c>
      <c s="1853" t="s">
        <v>3586</v>
      </c>
      <c s="1853" t="s">
        <v>22</v>
      </c>
      <c s="1853" t="s">
        <v>854</v>
      </c>
    </row>
    <row r="515" spans="1:9" ht="11.25" customHeight="1">
      <c r="A515" s="1853" t="s">
        <v>2247</v>
      </c>
      <c s="1853" t="s">
        <v>16</v>
      </c>
      <c s="1853" t="s">
        <v>3587</v>
      </c>
      <c s="1853" t="s">
        <v>3588</v>
      </c>
      <c s="1853" t="s">
        <v>3589</v>
      </c>
      <c s="1853" t="s">
        <v>3169</v>
      </c>
      <c s="1853" t="s">
        <v>3590</v>
      </c>
      <c s="1853" t="s">
        <v>22</v>
      </c>
      <c s="1853" t="s">
        <v>854</v>
      </c>
    </row>
    <row r="516" spans="1:9" ht="11.25" customHeight="1">
      <c r="A516" s="1853" t="s">
        <v>2247</v>
      </c>
      <c s="1853" t="s">
        <v>16</v>
      </c>
      <c s="1853" t="s">
        <v>3591</v>
      </c>
      <c s="1853" t="s">
        <v>3592</v>
      </c>
      <c s="1853" t="s">
        <v>3593</v>
      </c>
      <c s="1853" t="s">
        <v>2348</v>
      </c>
      <c s="1853" t="s">
        <v>22</v>
      </c>
      <c s="1853" t="s">
        <v>22</v>
      </c>
      <c s="1853" t="s">
        <v>854</v>
      </c>
    </row>
    <row r="517" spans="1:9" ht="11.25" customHeight="1">
      <c r="A517" s="1853" t="s">
        <v>2247</v>
      </c>
      <c s="1853" t="s">
        <v>16</v>
      </c>
      <c s="1853" t="s">
        <v>3594</v>
      </c>
      <c s="1853" t="s">
        <v>3595</v>
      </c>
      <c s="1853" t="s">
        <v>3596</v>
      </c>
      <c s="1853" t="s">
        <v>2499</v>
      </c>
      <c s="1853" t="s">
        <v>3597</v>
      </c>
      <c s="1853" t="s">
        <v>22</v>
      </c>
      <c s="1853" t="s">
        <v>854</v>
      </c>
    </row>
    <row r="518" spans="1:9" ht="11.25" customHeight="1">
      <c r="A518" s="1853" t="s">
        <v>2247</v>
      </c>
      <c s="1853" t="s">
        <v>16</v>
      </c>
      <c s="1853" t="s">
        <v>2287</v>
      </c>
      <c s="1853" t="s">
        <v>2288</v>
      </c>
      <c s="1853" t="s">
        <v>2289</v>
      </c>
      <c s="1853" t="s">
        <v>2290</v>
      </c>
      <c s="1853" t="s">
        <v>22</v>
      </c>
      <c s="1853" t="s">
        <v>22</v>
      </c>
      <c s="1853" t="s">
        <v>854</v>
      </c>
    </row>
    <row r="519" spans="1:9" ht="11.25" customHeight="1">
      <c r="A519" s="1853" t="s">
        <v>2247</v>
      </c>
      <c s="1853" t="s">
        <v>16</v>
      </c>
      <c s="1853" t="s">
        <v>3598</v>
      </c>
      <c s="1853" t="s">
        <v>3599</v>
      </c>
      <c s="1853" t="s">
        <v>3600</v>
      </c>
      <c s="1853" t="s">
        <v>51</v>
      </c>
      <c s="1853" t="s">
        <v>3601</v>
      </c>
      <c s="1853" t="s">
        <v>22</v>
      </c>
      <c s="1853" t="s">
        <v>854</v>
      </c>
    </row>
    <row r="520" spans="1:9" ht="11.25" customHeight="1">
      <c r="A520" s="1853" t="s">
        <v>2247</v>
      </c>
      <c s="1853" t="s">
        <v>16</v>
      </c>
      <c s="1853" t="s">
        <v>3602</v>
      </c>
      <c s="1853" t="s">
        <v>3603</v>
      </c>
      <c s="1853" t="s">
        <v>3604</v>
      </c>
      <c s="1853" t="s">
        <v>2386</v>
      </c>
      <c s="1853" t="s">
        <v>22</v>
      </c>
      <c s="1853" t="s">
        <v>22</v>
      </c>
      <c s="1853" t="s">
        <v>854</v>
      </c>
    </row>
    <row r="521" spans="1:9" ht="11.25" customHeight="1">
      <c r="A521" s="1853" t="s">
        <v>2247</v>
      </c>
      <c s="1853" t="s">
        <v>16</v>
      </c>
      <c s="1853" t="s">
        <v>2305</v>
      </c>
      <c s="1853" t="s">
        <v>2306</v>
      </c>
      <c s="1853" t="s">
        <v>2307</v>
      </c>
      <c s="1853" t="s">
        <v>2251</v>
      </c>
      <c s="1853" t="s">
        <v>2308</v>
      </c>
      <c s="1853" t="s">
        <v>22</v>
      </c>
      <c s="1853" t="s">
        <v>854</v>
      </c>
    </row>
    <row r="522" spans="1:9" ht="11.25" customHeight="1">
      <c r="A522" s="1853" t="s">
        <v>2247</v>
      </c>
      <c s="1853" t="s">
        <v>16</v>
      </c>
      <c s="1853" t="s">
        <v>2316</v>
      </c>
      <c s="1853" t="s">
        <v>2317</v>
      </c>
      <c s="1853" t="s">
        <v>2318</v>
      </c>
      <c s="1853" t="s">
        <v>2319</v>
      </c>
      <c s="1853" t="s">
        <v>2320</v>
      </c>
      <c s="1853" t="s">
        <v>22</v>
      </c>
      <c s="1853" t="s">
        <v>854</v>
      </c>
    </row>
    <row r="523" spans="1:9" ht="11.25" customHeight="1">
      <c r="A523" s="1853" t="s">
        <v>2247</v>
      </c>
      <c s="1853" t="s">
        <v>16</v>
      </c>
      <c s="1853" t="s">
        <v>3605</v>
      </c>
      <c s="1853" t="s">
        <v>3606</v>
      </c>
      <c s="1853" t="s">
        <v>3607</v>
      </c>
      <c s="1853" t="s">
        <v>2382</v>
      </c>
      <c s="1853" t="s">
        <v>3608</v>
      </c>
      <c s="1853" t="s">
        <v>22</v>
      </c>
      <c s="1853" t="s">
        <v>854</v>
      </c>
    </row>
    <row r="524" spans="1:9" ht="11.25" customHeight="1">
      <c r="A524" s="1853" t="s">
        <v>2247</v>
      </c>
      <c s="1853" t="s">
        <v>16</v>
      </c>
      <c s="1853" t="s">
        <v>3609</v>
      </c>
      <c s="1853" t="s">
        <v>3610</v>
      </c>
      <c s="1853" t="s">
        <v>3611</v>
      </c>
      <c s="1853" t="s">
        <v>2256</v>
      </c>
      <c s="1853" t="s">
        <v>3305</v>
      </c>
      <c s="1853" t="s">
        <v>22</v>
      </c>
      <c s="1853" t="s">
        <v>854</v>
      </c>
    </row>
    <row r="525" spans="1:9" ht="11.25" customHeight="1">
      <c r="A525" s="1853" t="s">
        <v>2247</v>
      </c>
      <c s="1853" t="s">
        <v>16</v>
      </c>
      <c s="1853" t="s">
        <v>2336</v>
      </c>
      <c s="1853" t="s">
        <v>2337</v>
      </c>
      <c s="1853" t="s">
        <v>2338</v>
      </c>
      <c s="1853" t="s">
        <v>2339</v>
      </c>
      <c s="1853" t="s">
        <v>2340</v>
      </c>
      <c s="1853" t="s">
        <v>22</v>
      </c>
      <c s="1853" t="s">
        <v>854</v>
      </c>
    </row>
    <row r="526" spans="1:9" ht="11.25" customHeight="1">
      <c r="A526" s="1853" t="s">
        <v>2247</v>
      </c>
      <c s="1853" t="s">
        <v>16</v>
      </c>
      <c s="1853" t="s">
        <v>3612</v>
      </c>
      <c s="1853" t="s">
        <v>3613</v>
      </c>
      <c s="1853" t="s">
        <v>3614</v>
      </c>
      <c s="1853" t="s">
        <v>3615</v>
      </c>
      <c s="1853" t="s">
        <v>3616</v>
      </c>
      <c s="1853" t="s">
        <v>22</v>
      </c>
      <c s="1853" t="s">
        <v>854</v>
      </c>
    </row>
    <row r="527" spans="1:9" ht="11.25" customHeight="1">
      <c r="A527" s="1853" t="s">
        <v>2247</v>
      </c>
      <c s="1853" t="s">
        <v>16</v>
      </c>
      <c s="1853" t="s">
        <v>3617</v>
      </c>
      <c s="1853" t="s">
        <v>3613</v>
      </c>
      <c s="1853" t="s">
        <v>3618</v>
      </c>
      <c s="1853" t="s">
        <v>2348</v>
      </c>
      <c s="1853" t="s">
        <v>22</v>
      </c>
      <c s="1853" t="s">
        <v>22</v>
      </c>
      <c s="1853" t="s">
        <v>854</v>
      </c>
    </row>
    <row r="528" spans="1:9" ht="11.25" customHeight="1">
      <c r="A528" s="1853" t="s">
        <v>2247</v>
      </c>
      <c s="1853" t="s">
        <v>16</v>
      </c>
      <c s="1853" t="s">
        <v>3619</v>
      </c>
      <c s="1853" t="s">
        <v>3620</v>
      </c>
      <c s="1853" t="s">
        <v>3621</v>
      </c>
      <c s="1853" t="s">
        <v>2555</v>
      </c>
      <c s="1853" t="s">
        <v>3622</v>
      </c>
      <c s="1853" t="s">
        <v>22</v>
      </c>
      <c s="1853" t="s">
        <v>854</v>
      </c>
    </row>
    <row r="529" spans="1:9" ht="11.25" customHeight="1">
      <c r="A529" s="1853" t="s">
        <v>2247</v>
      </c>
      <c s="1853" t="s">
        <v>16</v>
      </c>
      <c s="1853" t="s">
        <v>2364</v>
      </c>
      <c s="1853" t="s">
        <v>2365</v>
      </c>
      <c s="1853" t="s">
        <v>2366</v>
      </c>
      <c s="1853" t="s">
        <v>2348</v>
      </c>
      <c s="1853" t="s">
        <v>22</v>
      </c>
      <c s="1853" t="s">
        <v>22</v>
      </c>
      <c s="1853" t="s">
        <v>854</v>
      </c>
    </row>
    <row r="530" spans="1:9" ht="11.25" customHeight="1">
      <c r="A530" s="1853" t="s">
        <v>2247</v>
      </c>
      <c s="1853" t="s">
        <v>16</v>
      </c>
      <c s="1853" t="s">
        <v>3623</v>
      </c>
      <c s="1853" t="s">
        <v>3624</v>
      </c>
      <c s="1853" t="s">
        <v>3625</v>
      </c>
      <c s="1853" t="s">
        <v>2568</v>
      </c>
      <c s="1853" t="s">
        <v>22</v>
      </c>
      <c s="1853" t="s">
        <v>22</v>
      </c>
      <c s="1853" t="s">
        <v>854</v>
      </c>
    </row>
    <row r="531" spans="1:9" ht="11.25" customHeight="1">
      <c r="A531" s="1853" t="s">
        <v>2247</v>
      </c>
      <c s="1853" t="s">
        <v>16</v>
      </c>
      <c s="1853" t="s">
        <v>3626</v>
      </c>
      <c s="1853" t="s">
        <v>3627</v>
      </c>
      <c s="1853" t="s">
        <v>3628</v>
      </c>
      <c s="1853" t="s">
        <v>3629</v>
      </c>
      <c s="1853" t="s">
        <v>22</v>
      </c>
      <c s="1853" t="s">
        <v>22</v>
      </c>
      <c s="1853" t="s">
        <v>854</v>
      </c>
    </row>
    <row r="532" spans="1:9" ht="11.25" customHeight="1">
      <c r="A532" s="1853" t="s">
        <v>2247</v>
      </c>
      <c s="1853" t="s">
        <v>16</v>
      </c>
      <c s="1853" t="s">
        <v>2400</v>
      </c>
      <c s="1853" t="s">
        <v>2401</v>
      </c>
      <c s="1853" t="s">
        <v>2402</v>
      </c>
      <c s="1853" t="s">
        <v>2403</v>
      </c>
      <c s="1853" t="s">
        <v>22</v>
      </c>
      <c s="1853" t="s">
        <v>22</v>
      </c>
      <c s="1853" t="s">
        <v>854</v>
      </c>
    </row>
    <row r="533" spans="1:9" ht="11.25" customHeight="1">
      <c r="A533" s="1853" t="s">
        <v>2247</v>
      </c>
      <c s="1853" t="s">
        <v>16</v>
      </c>
      <c s="1853" t="s">
        <v>2407</v>
      </c>
      <c s="1853" t="s">
        <v>2408</v>
      </c>
      <c s="1853" t="s">
        <v>2409</v>
      </c>
      <c s="1853" t="s">
        <v>2294</v>
      </c>
      <c s="1853" t="s">
        <v>22</v>
      </c>
      <c s="1853" t="s">
        <v>22</v>
      </c>
      <c s="1853" t="s">
        <v>854</v>
      </c>
    </row>
    <row r="534" spans="1:9" ht="11.25" customHeight="1">
      <c r="A534" s="1853" t="s">
        <v>2247</v>
      </c>
      <c s="1853" t="s">
        <v>16</v>
      </c>
      <c s="1853" t="s">
        <v>3630</v>
      </c>
      <c s="1853" t="s">
        <v>3631</v>
      </c>
      <c s="1853" t="s">
        <v>3499</v>
      </c>
      <c s="1853" t="s">
        <v>2290</v>
      </c>
      <c s="1853" t="s">
        <v>3632</v>
      </c>
      <c s="1853" t="s">
        <v>22</v>
      </c>
      <c s="1853" t="s">
        <v>854</v>
      </c>
    </row>
    <row r="535" spans="1:9" ht="11.25" customHeight="1">
      <c r="A535" s="1853" t="s">
        <v>2247</v>
      </c>
      <c s="1853" t="s">
        <v>16</v>
      </c>
      <c s="1853" t="s">
        <v>3633</v>
      </c>
      <c s="1853" t="s">
        <v>3634</v>
      </c>
      <c s="1853" t="s">
        <v>3635</v>
      </c>
      <c s="1853" t="s">
        <v>2391</v>
      </c>
      <c s="1853" t="s">
        <v>3636</v>
      </c>
      <c s="1853" t="s">
        <v>22</v>
      </c>
      <c s="1853" t="s">
        <v>854</v>
      </c>
    </row>
    <row r="536" spans="1:9" ht="11.25" customHeight="1">
      <c r="A536" s="1853" t="s">
        <v>2247</v>
      </c>
      <c s="1853" t="s">
        <v>16</v>
      </c>
      <c s="1853" t="s">
        <v>2423</v>
      </c>
      <c s="1853" t="s">
        <v>2424</v>
      </c>
      <c s="1853" t="s">
        <v>2425</v>
      </c>
      <c s="1853" t="s">
        <v>2260</v>
      </c>
      <c s="1853" t="s">
        <v>2426</v>
      </c>
      <c s="1853" t="s">
        <v>22</v>
      </c>
      <c s="1853" t="s">
        <v>854</v>
      </c>
    </row>
    <row r="537" spans="1:9" ht="11.25" customHeight="1">
      <c r="A537" s="1853" t="s">
        <v>2247</v>
      </c>
      <c s="1853" t="s">
        <v>16</v>
      </c>
      <c s="1853" t="s">
        <v>3637</v>
      </c>
      <c s="1853" t="s">
        <v>3638</v>
      </c>
      <c s="1853" t="s">
        <v>3639</v>
      </c>
      <c s="1853" t="s">
        <v>2680</v>
      </c>
      <c s="1853" t="s">
        <v>22</v>
      </c>
      <c s="1853" t="s">
        <v>22</v>
      </c>
      <c s="1853" t="s">
        <v>854</v>
      </c>
    </row>
    <row r="538" spans="1:9" ht="11.25" customHeight="1">
      <c r="A538" s="1853" t="s">
        <v>2247</v>
      </c>
      <c s="1853" t="s">
        <v>16</v>
      </c>
      <c s="1853" t="s">
        <v>3640</v>
      </c>
      <c s="1853" t="s">
        <v>3641</v>
      </c>
      <c s="1853" t="s">
        <v>3642</v>
      </c>
      <c s="1853" t="s">
        <v>3643</v>
      </c>
      <c s="1853" t="s">
        <v>3644</v>
      </c>
      <c s="1853" t="s">
        <v>22</v>
      </c>
      <c s="1853" t="s">
        <v>854</v>
      </c>
    </row>
    <row r="539" spans="1:9" ht="11.25" customHeight="1">
      <c r="A539" s="1853" t="s">
        <v>2247</v>
      </c>
      <c s="1853" t="s">
        <v>16</v>
      </c>
      <c s="1853" t="s">
        <v>3645</v>
      </c>
      <c s="1853" t="s">
        <v>3646</v>
      </c>
      <c s="1853" t="s">
        <v>3647</v>
      </c>
      <c s="1853" t="s">
        <v>2675</v>
      </c>
      <c s="1853" t="s">
        <v>3648</v>
      </c>
      <c s="1853" t="s">
        <v>22</v>
      </c>
      <c s="1853" t="s">
        <v>854</v>
      </c>
    </row>
    <row r="540" spans="1:9" ht="11.25" customHeight="1">
      <c r="A540" s="1853" t="s">
        <v>2247</v>
      </c>
      <c s="1853" t="s">
        <v>16</v>
      </c>
      <c s="1853" t="s">
        <v>3649</v>
      </c>
      <c s="1853" t="s">
        <v>3650</v>
      </c>
      <c s="1853" t="s">
        <v>3651</v>
      </c>
      <c s="1853" t="s">
        <v>2260</v>
      </c>
      <c s="1853" t="s">
        <v>3574</v>
      </c>
      <c s="1853" t="s">
        <v>22</v>
      </c>
      <c s="1853" t="s">
        <v>854</v>
      </c>
    </row>
    <row r="541" spans="1:9" ht="11.25" customHeight="1">
      <c r="A541" s="1853" t="s">
        <v>2247</v>
      </c>
      <c s="1853" t="s">
        <v>16</v>
      </c>
      <c s="1853" t="s">
        <v>2439</v>
      </c>
      <c s="1853" t="s">
        <v>2440</v>
      </c>
      <c s="1853" t="s">
        <v>2441</v>
      </c>
      <c s="1853" t="s">
        <v>2442</v>
      </c>
      <c s="1853" t="s">
        <v>2443</v>
      </c>
      <c s="1853" t="s">
        <v>22</v>
      </c>
      <c s="1853" t="s">
        <v>854</v>
      </c>
    </row>
    <row r="542" spans="1:9" ht="11.25" customHeight="1">
      <c r="A542" s="1853" t="s">
        <v>2247</v>
      </c>
      <c s="1853" t="s">
        <v>16</v>
      </c>
      <c s="1853" t="s">
        <v>3652</v>
      </c>
      <c s="1853" t="s">
        <v>3653</v>
      </c>
      <c s="1853" t="s">
        <v>3654</v>
      </c>
      <c s="1853" t="s">
        <v>2260</v>
      </c>
      <c s="1853" t="s">
        <v>3574</v>
      </c>
      <c s="1853" t="s">
        <v>3655</v>
      </c>
      <c s="1853" t="s">
        <v>854</v>
      </c>
    </row>
    <row r="543" spans="1:9" ht="11.25" customHeight="1">
      <c r="A543" s="1853" t="s">
        <v>2247</v>
      </c>
      <c s="1853" t="s">
        <v>16</v>
      </c>
      <c s="1853" t="s">
        <v>2444</v>
      </c>
      <c s="1853" t="s">
        <v>2445</v>
      </c>
      <c s="1853" t="s">
        <v>2446</v>
      </c>
      <c s="1853" t="s">
        <v>2447</v>
      </c>
      <c s="1853" t="s">
        <v>22</v>
      </c>
      <c s="1853" t="s">
        <v>22</v>
      </c>
      <c s="1853" t="s">
        <v>854</v>
      </c>
    </row>
    <row r="544" spans="1:9" ht="11.25" customHeight="1">
      <c r="A544" s="1853" t="s">
        <v>2247</v>
      </c>
      <c s="1853" t="s">
        <v>16</v>
      </c>
      <c s="1853" t="s">
        <v>3656</v>
      </c>
      <c s="1853" t="s">
        <v>3657</v>
      </c>
      <c s="1853" t="s">
        <v>3658</v>
      </c>
      <c s="1853" t="s">
        <v>2731</v>
      </c>
      <c s="1853" t="s">
        <v>3659</v>
      </c>
      <c s="1853" t="s">
        <v>22</v>
      </c>
      <c s="1853" t="s">
        <v>854</v>
      </c>
    </row>
    <row r="545" spans="1:9" ht="11.25" customHeight="1">
      <c r="A545" s="1853" t="s">
        <v>2247</v>
      </c>
      <c s="1853" t="s">
        <v>16</v>
      </c>
      <c s="1853" t="s">
        <v>3660</v>
      </c>
      <c s="1853" t="s">
        <v>3661</v>
      </c>
      <c s="1853" t="s">
        <v>3662</v>
      </c>
      <c s="1853" t="s">
        <v>51</v>
      </c>
      <c s="1853" t="s">
        <v>3663</v>
      </c>
      <c s="1853" t="s">
        <v>22</v>
      </c>
      <c s="1853" t="s">
        <v>854</v>
      </c>
    </row>
    <row r="546" spans="1:9" ht="11.25" customHeight="1">
      <c r="A546" s="1853" t="s">
        <v>2247</v>
      </c>
      <c s="1853" t="s">
        <v>16</v>
      </c>
      <c s="1853" t="s">
        <v>13</v>
      </c>
      <c s="1853" t="s">
        <v>46</v>
      </c>
      <c s="1853" t="s">
        <v>49</v>
      </c>
      <c s="1853" t="s">
        <v>51</v>
      </c>
      <c s="1853" t="s">
        <v>3664</v>
      </c>
      <c s="1853" t="s">
        <v>22</v>
      </c>
      <c s="1853" t="s">
        <v>854</v>
      </c>
    </row>
    <row r="547" spans="1:9" ht="11.25" customHeight="1">
      <c r="A547" s="1853" t="s">
        <v>2247</v>
      </c>
      <c s="1853" t="s">
        <v>16</v>
      </c>
      <c s="1853" t="s">
        <v>3665</v>
      </c>
      <c s="1853" t="s">
        <v>3666</v>
      </c>
      <c s="1853" t="s">
        <v>3667</v>
      </c>
      <c s="1853" t="s">
        <v>2335</v>
      </c>
      <c s="1853" t="s">
        <v>22</v>
      </c>
      <c s="1853" t="s">
        <v>22</v>
      </c>
      <c s="1853" t="s">
        <v>854</v>
      </c>
    </row>
    <row r="548" spans="1:9" ht="11.25" customHeight="1">
      <c r="A548" s="1853" t="s">
        <v>2247</v>
      </c>
      <c s="1853" t="s">
        <v>16</v>
      </c>
      <c s="1853" t="s">
        <v>22</v>
      </c>
      <c s="1853" t="s">
        <v>2480</v>
      </c>
      <c s="1853" t="s">
        <v>2481</v>
      </c>
      <c s="1853" t="s">
        <v>2256</v>
      </c>
      <c s="1853" t="s">
        <v>22</v>
      </c>
      <c s="1853" t="s">
        <v>22</v>
      </c>
      <c s="1853" t="s">
        <v>854</v>
      </c>
    </row>
    <row r="549" spans="1:9" ht="11.25" customHeight="1">
      <c r="A549" s="1853" t="s">
        <v>2247</v>
      </c>
      <c s="1853" t="s">
        <v>16</v>
      </c>
      <c s="1853" t="s">
        <v>3668</v>
      </c>
      <c s="1853" t="s">
        <v>3669</v>
      </c>
      <c s="1853" t="s">
        <v>3670</v>
      </c>
      <c s="1853" t="s">
        <v>2464</v>
      </c>
      <c s="1853" t="s">
        <v>3671</v>
      </c>
      <c s="1853" t="s">
        <v>22</v>
      </c>
      <c s="1853" t="s">
        <v>854</v>
      </c>
    </row>
    <row r="550" spans="1:9" ht="11.25" customHeight="1">
      <c r="A550" s="1853" t="s">
        <v>2247</v>
      </c>
      <c s="1853" t="s">
        <v>16</v>
      </c>
      <c s="1853" t="s">
        <v>2490</v>
      </c>
      <c s="1853" t="s">
        <v>2491</v>
      </c>
      <c s="1853" t="s">
        <v>2492</v>
      </c>
      <c s="1853" t="s">
        <v>2328</v>
      </c>
      <c s="1853" t="s">
        <v>22</v>
      </c>
      <c s="1853" t="s">
        <v>22</v>
      </c>
      <c s="1853" t="s">
        <v>854</v>
      </c>
    </row>
    <row r="551" spans="1:9" ht="11.25" customHeight="1">
      <c r="A551" s="1853" t="s">
        <v>2247</v>
      </c>
      <c s="1853" t="s">
        <v>16</v>
      </c>
      <c s="1853" t="s">
        <v>3672</v>
      </c>
      <c s="1853" t="s">
        <v>3673</v>
      </c>
      <c s="1853" t="s">
        <v>3674</v>
      </c>
      <c s="1853" t="s">
        <v>2512</v>
      </c>
      <c s="1853" t="s">
        <v>22</v>
      </c>
      <c s="1853" t="s">
        <v>22</v>
      </c>
      <c s="1853" t="s">
        <v>854</v>
      </c>
    </row>
    <row r="552" spans="1:9" ht="11.25" customHeight="1">
      <c r="A552" s="1853" t="s">
        <v>2247</v>
      </c>
      <c s="1853" t="s">
        <v>16</v>
      </c>
      <c s="1853" t="s">
        <v>3675</v>
      </c>
      <c s="1853" t="s">
        <v>3676</v>
      </c>
      <c s="1853" t="s">
        <v>3677</v>
      </c>
      <c s="1853" t="s">
        <v>2512</v>
      </c>
      <c s="1853" t="s">
        <v>22</v>
      </c>
      <c s="1853" t="s">
        <v>22</v>
      </c>
      <c s="1853" t="s">
        <v>854</v>
      </c>
    </row>
    <row r="553" spans="1:9" ht="11.25" customHeight="1">
      <c r="A553" s="1853" t="s">
        <v>2247</v>
      </c>
      <c s="1853" t="s">
        <v>16</v>
      </c>
      <c s="1853" t="s">
        <v>3678</v>
      </c>
      <c s="1853" t="s">
        <v>3679</v>
      </c>
      <c s="1853" t="s">
        <v>3680</v>
      </c>
      <c s="1853" t="s">
        <v>2391</v>
      </c>
      <c s="1853" t="s">
        <v>3681</v>
      </c>
      <c s="1853" t="s">
        <v>22</v>
      </c>
      <c s="1853" t="s">
        <v>854</v>
      </c>
    </row>
    <row r="554" spans="1:9" ht="11.25" customHeight="1">
      <c r="A554" s="1853" t="s">
        <v>2247</v>
      </c>
      <c s="1853" t="s">
        <v>16</v>
      </c>
      <c s="1853" t="s">
        <v>2493</v>
      </c>
      <c s="1853" t="s">
        <v>2494</v>
      </c>
      <c s="1853" t="s">
        <v>2495</v>
      </c>
      <c s="1853" t="s">
        <v>2294</v>
      </c>
      <c s="1853" t="s">
        <v>22</v>
      </c>
      <c s="1853" t="s">
        <v>22</v>
      </c>
      <c s="1853" t="s">
        <v>854</v>
      </c>
    </row>
    <row r="555" spans="1:9" ht="11.25" customHeight="1">
      <c r="A555" s="1853" t="s">
        <v>2247</v>
      </c>
      <c s="1853" t="s">
        <v>16</v>
      </c>
      <c s="1853" t="s">
        <v>3682</v>
      </c>
      <c s="1853" t="s">
        <v>3683</v>
      </c>
      <c s="1853" t="s">
        <v>3684</v>
      </c>
      <c s="1853" t="s">
        <v>2512</v>
      </c>
      <c s="1853" t="s">
        <v>22</v>
      </c>
      <c s="1853" t="s">
        <v>22</v>
      </c>
      <c s="1853" t="s">
        <v>854</v>
      </c>
    </row>
    <row r="556" spans="1:9" ht="11.25" customHeight="1">
      <c r="A556" s="1853" t="s">
        <v>2247</v>
      </c>
      <c s="1853" t="s">
        <v>16</v>
      </c>
      <c s="1853" t="s">
        <v>3685</v>
      </c>
      <c s="1853" t="s">
        <v>3686</v>
      </c>
      <c s="1853" t="s">
        <v>3687</v>
      </c>
      <c s="1853" t="s">
        <v>2328</v>
      </c>
      <c s="1853" t="s">
        <v>3688</v>
      </c>
      <c s="1853" t="s">
        <v>22</v>
      </c>
      <c s="1853" t="s">
        <v>854</v>
      </c>
    </row>
    <row r="557" spans="1:9" ht="11.25" customHeight="1">
      <c r="A557" s="1853" t="s">
        <v>2247</v>
      </c>
      <c s="1853" t="s">
        <v>16</v>
      </c>
      <c s="1853" t="s">
        <v>3689</v>
      </c>
      <c s="1853" t="s">
        <v>3690</v>
      </c>
      <c s="1853" t="s">
        <v>3691</v>
      </c>
      <c s="1853" t="s">
        <v>2680</v>
      </c>
      <c s="1853" t="s">
        <v>22</v>
      </c>
      <c s="1853" t="s">
        <v>22</v>
      </c>
      <c s="1853" t="s">
        <v>854</v>
      </c>
    </row>
    <row r="558" spans="1:9" ht="11.25" customHeight="1">
      <c r="A558" s="1853" t="s">
        <v>2247</v>
      </c>
      <c s="1853" t="s">
        <v>16</v>
      </c>
      <c s="1853" t="s">
        <v>3692</v>
      </c>
      <c s="1853" t="s">
        <v>3693</v>
      </c>
      <c s="1853" t="s">
        <v>3694</v>
      </c>
      <c s="1853" t="s">
        <v>3585</v>
      </c>
      <c s="1853" t="s">
        <v>3695</v>
      </c>
      <c s="1853" t="s">
        <v>22</v>
      </c>
      <c s="1853" t="s">
        <v>854</v>
      </c>
    </row>
    <row r="559" spans="1:9" ht="11.25" customHeight="1">
      <c r="A559" s="1853" t="s">
        <v>2247</v>
      </c>
      <c s="1853" t="s">
        <v>16</v>
      </c>
      <c s="1853" t="s">
        <v>3696</v>
      </c>
      <c s="1853" t="s">
        <v>3697</v>
      </c>
      <c s="1853" t="s">
        <v>3698</v>
      </c>
      <c s="1853" t="s">
        <v>2575</v>
      </c>
      <c s="1853" t="s">
        <v>22</v>
      </c>
      <c s="1853" t="s">
        <v>22</v>
      </c>
      <c s="1853" t="s">
        <v>854</v>
      </c>
    </row>
    <row r="560" spans="1:9" ht="11.25" customHeight="1">
      <c r="A560" s="1853" t="s">
        <v>2247</v>
      </c>
      <c s="1853" t="s">
        <v>16</v>
      </c>
      <c s="1853" t="s">
        <v>3699</v>
      </c>
      <c s="1853" t="s">
        <v>3700</v>
      </c>
      <c s="1853" t="s">
        <v>3701</v>
      </c>
      <c s="1853" t="s">
        <v>2708</v>
      </c>
      <c s="1853" t="s">
        <v>22</v>
      </c>
      <c s="1853" t="s">
        <v>22</v>
      </c>
      <c s="1853" t="s">
        <v>854</v>
      </c>
    </row>
    <row r="561" spans="1:9" ht="11.25" customHeight="1">
      <c r="A561" s="1853" t="s">
        <v>2247</v>
      </c>
      <c s="1853" t="s">
        <v>16</v>
      </c>
      <c s="1853" t="s">
        <v>2504</v>
      </c>
      <c s="1853" t="s">
        <v>2505</v>
      </c>
      <c s="1853" t="s">
        <v>2506</v>
      </c>
      <c s="1853" t="s">
        <v>2507</v>
      </c>
      <c s="1853" t="s">
        <v>2508</v>
      </c>
      <c s="1853" t="s">
        <v>22</v>
      </c>
      <c s="1853" t="s">
        <v>854</v>
      </c>
    </row>
    <row r="562" spans="1:9" ht="11.25" customHeight="1">
      <c r="A562" s="1853" t="s">
        <v>2247</v>
      </c>
      <c s="1853" t="s">
        <v>16</v>
      </c>
      <c s="1853" t="s">
        <v>2509</v>
      </c>
      <c s="1853" t="s">
        <v>2510</v>
      </c>
      <c s="1853" t="s">
        <v>2511</v>
      </c>
      <c s="1853" t="s">
        <v>2512</v>
      </c>
      <c s="1853" t="s">
        <v>2508</v>
      </c>
      <c s="1853" t="s">
        <v>22</v>
      </c>
      <c s="1853" t="s">
        <v>854</v>
      </c>
    </row>
    <row r="563" spans="1:9" ht="11.25" customHeight="1">
      <c r="A563" s="1853" t="s">
        <v>2247</v>
      </c>
      <c s="1853" t="s">
        <v>16</v>
      </c>
      <c s="1853" t="s">
        <v>3702</v>
      </c>
      <c s="1853" t="s">
        <v>3703</v>
      </c>
      <c s="1853" t="s">
        <v>3704</v>
      </c>
      <c s="1853" t="s">
        <v>2324</v>
      </c>
      <c s="1853" t="s">
        <v>3705</v>
      </c>
      <c s="1853" t="s">
        <v>22</v>
      </c>
      <c s="1853" t="s">
        <v>854</v>
      </c>
    </row>
    <row r="564" spans="1:9" ht="11.25" customHeight="1">
      <c r="A564" s="1853" t="s">
        <v>2247</v>
      </c>
      <c s="1853" t="s">
        <v>16</v>
      </c>
      <c s="1853" t="s">
        <v>3706</v>
      </c>
      <c s="1853" t="s">
        <v>3707</v>
      </c>
      <c s="1853" t="s">
        <v>3708</v>
      </c>
      <c s="1853" t="s">
        <v>2499</v>
      </c>
      <c s="1853" t="s">
        <v>3460</v>
      </c>
      <c s="1853" t="s">
        <v>22</v>
      </c>
      <c s="1853" t="s">
        <v>854</v>
      </c>
    </row>
    <row r="565" spans="1:9" ht="11.25" customHeight="1">
      <c r="A565" s="1853" t="s">
        <v>2247</v>
      </c>
      <c s="1853" t="s">
        <v>16</v>
      </c>
      <c s="1853" t="s">
        <v>3709</v>
      </c>
      <c s="1853" t="s">
        <v>3710</v>
      </c>
      <c s="1853" t="s">
        <v>3711</v>
      </c>
      <c s="1853" t="s">
        <v>2499</v>
      </c>
      <c s="1853" t="s">
        <v>3712</v>
      </c>
      <c s="1853" t="s">
        <v>22</v>
      </c>
      <c s="1853" t="s">
        <v>854</v>
      </c>
    </row>
    <row r="566" spans="1:9" ht="11.25" customHeight="1">
      <c r="A566" s="1853" t="s">
        <v>2247</v>
      </c>
      <c s="1853" t="s">
        <v>16</v>
      </c>
      <c s="1853" t="s">
        <v>3713</v>
      </c>
      <c s="1853" t="s">
        <v>3714</v>
      </c>
      <c s="1853" t="s">
        <v>3715</v>
      </c>
      <c s="1853" t="s">
        <v>575</v>
      </c>
      <c s="1853" t="s">
        <v>3716</v>
      </c>
      <c s="1853" t="s">
        <v>22</v>
      </c>
      <c s="1853" t="s">
        <v>854</v>
      </c>
    </row>
    <row r="567" spans="1:9" ht="11.25" customHeight="1">
      <c r="A567" s="1853" t="s">
        <v>2247</v>
      </c>
      <c s="1853" t="s">
        <v>16</v>
      </c>
      <c s="1853" t="s">
        <v>2517</v>
      </c>
      <c s="1853" t="s">
        <v>2518</v>
      </c>
      <c s="1853" t="s">
        <v>2519</v>
      </c>
      <c s="1853" t="s">
        <v>575</v>
      </c>
      <c s="1853" t="s">
        <v>2520</v>
      </c>
      <c s="1853" t="s">
        <v>22</v>
      </c>
      <c s="1853" t="s">
        <v>854</v>
      </c>
    </row>
    <row r="568" spans="1:9" ht="11.25" customHeight="1">
      <c r="A568" s="1853" t="s">
        <v>2247</v>
      </c>
      <c s="1853" t="s">
        <v>16</v>
      </c>
      <c s="1853" t="s">
        <v>3717</v>
      </c>
      <c s="1853" t="s">
        <v>3718</v>
      </c>
      <c s="1853" t="s">
        <v>3719</v>
      </c>
      <c s="1853" t="s">
        <v>575</v>
      </c>
      <c s="1853" t="s">
        <v>3720</v>
      </c>
      <c s="1853" t="s">
        <v>22</v>
      </c>
      <c s="1853" t="s">
        <v>854</v>
      </c>
    </row>
    <row r="569" spans="1:9" ht="11.25" customHeight="1">
      <c r="A569" s="1853" t="s">
        <v>2247</v>
      </c>
      <c s="1853" t="s">
        <v>16</v>
      </c>
      <c s="1853" t="s">
        <v>3721</v>
      </c>
      <c s="1853" t="s">
        <v>3722</v>
      </c>
      <c s="1853" t="s">
        <v>3723</v>
      </c>
      <c s="1853" t="s">
        <v>575</v>
      </c>
      <c s="1853" t="s">
        <v>3724</v>
      </c>
      <c s="1853" t="s">
        <v>22</v>
      </c>
      <c s="1853" t="s">
        <v>854</v>
      </c>
    </row>
    <row r="570" spans="1:9" ht="11.25" customHeight="1">
      <c r="A570" s="1853" t="s">
        <v>2247</v>
      </c>
      <c s="1853" t="s">
        <v>16</v>
      </c>
      <c s="1853" t="s">
        <v>3725</v>
      </c>
      <c s="1853" t="s">
        <v>3726</v>
      </c>
      <c s="1853" t="s">
        <v>3727</v>
      </c>
      <c s="1853" t="s">
        <v>575</v>
      </c>
      <c s="1853" t="s">
        <v>3728</v>
      </c>
      <c s="1853" t="s">
        <v>22</v>
      </c>
      <c s="1853" t="s">
        <v>854</v>
      </c>
    </row>
    <row r="571" spans="1:9" ht="11.25" customHeight="1">
      <c r="A571" s="1853" t="s">
        <v>2247</v>
      </c>
      <c s="1853" t="s">
        <v>16</v>
      </c>
      <c s="1853" t="s">
        <v>3729</v>
      </c>
      <c s="1853" t="s">
        <v>3730</v>
      </c>
      <c s="1853" t="s">
        <v>3731</v>
      </c>
      <c s="1853" t="s">
        <v>575</v>
      </c>
      <c s="1853" t="s">
        <v>3732</v>
      </c>
      <c s="1853" t="s">
        <v>22</v>
      </c>
      <c s="1853" t="s">
        <v>854</v>
      </c>
    </row>
    <row r="572" spans="1:9" ht="11.25" customHeight="1">
      <c r="A572" s="1853" t="s">
        <v>2247</v>
      </c>
      <c s="1853" t="s">
        <v>16</v>
      </c>
      <c s="1853" t="s">
        <v>2529</v>
      </c>
      <c s="1853" t="s">
        <v>2530</v>
      </c>
      <c s="1853" t="s">
        <v>2531</v>
      </c>
      <c s="1853" t="s">
        <v>575</v>
      </c>
      <c s="1853" t="s">
        <v>2532</v>
      </c>
      <c s="1853" t="s">
        <v>22</v>
      </c>
      <c s="1853" t="s">
        <v>854</v>
      </c>
    </row>
    <row r="573" spans="1:9" ht="11.25" customHeight="1">
      <c r="A573" s="1853" t="s">
        <v>2247</v>
      </c>
      <c s="1853" t="s">
        <v>16</v>
      </c>
      <c s="1853" t="s">
        <v>3733</v>
      </c>
      <c s="1853" t="s">
        <v>3734</v>
      </c>
      <c s="1853" t="s">
        <v>3735</v>
      </c>
      <c s="1853" t="s">
        <v>2260</v>
      </c>
      <c s="1853" t="s">
        <v>3736</v>
      </c>
      <c s="1853" t="s">
        <v>22</v>
      </c>
      <c s="1853" t="s">
        <v>854</v>
      </c>
    </row>
    <row r="574" spans="1:9" ht="11.25" customHeight="1">
      <c r="A574" s="1853" t="s">
        <v>2247</v>
      </c>
      <c s="1853" t="s">
        <v>16</v>
      </c>
      <c s="1853" t="s">
        <v>3737</v>
      </c>
      <c s="1853" t="s">
        <v>3738</v>
      </c>
      <c s="1853" t="s">
        <v>3739</v>
      </c>
      <c s="1853" t="s">
        <v>3740</v>
      </c>
      <c s="1853" t="s">
        <v>22</v>
      </c>
      <c s="1853" t="s">
        <v>22</v>
      </c>
      <c s="1853" t="s">
        <v>854</v>
      </c>
    </row>
    <row r="575" spans="1:9" ht="11.25" customHeight="1">
      <c r="A575" s="1853" t="s">
        <v>2247</v>
      </c>
      <c s="1853" t="s">
        <v>16</v>
      </c>
      <c s="1853" t="s">
        <v>3741</v>
      </c>
      <c s="1853" t="s">
        <v>3742</v>
      </c>
      <c s="1853" t="s">
        <v>3743</v>
      </c>
      <c s="1853" t="s">
        <v>2260</v>
      </c>
      <c s="1853" t="s">
        <v>3574</v>
      </c>
      <c s="1853" t="s">
        <v>22</v>
      </c>
      <c s="1853" t="s">
        <v>854</v>
      </c>
    </row>
    <row r="576" spans="1:9" ht="11.25" customHeight="1">
      <c r="A576" s="1853" t="s">
        <v>2247</v>
      </c>
      <c s="1853" t="s">
        <v>16</v>
      </c>
      <c s="1853" t="s">
        <v>3744</v>
      </c>
      <c s="1853" t="s">
        <v>3745</v>
      </c>
      <c s="1853" t="s">
        <v>3746</v>
      </c>
      <c s="1853" t="s">
        <v>2708</v>
      </c>
      <c s="1853" t="s">
        <v>22</v>
      </c>
      <c s="1853" t="s">
        <v>22</v>
      </c>
      <c s="1853" t="s">
        <v>854</v>
      </c>
    </row>
    <row r="577" spans="1:9" ht="11.25" customHeight="1">
      <c r="A577" s="1853" t="s">
        <v>2247</v>
      </c>
      <c s="1853" t="s">
        <v>16</v>
      </c>
      <c s="1853" t="s">
        <v>3747</v>
      </c>
      <c s="1853" t="s">
        <v>3748</v>
      </c>
      <c s="1853" t="s">
        <v>3749</v>
      </c>
      <c s="1853" t="s">
        <v>2982</v>
      </c>
      <c s="1853" t="s">
        <v>3750</v>
      </c>
      <c s="1853" t="s">
        <v>22</v>
      </c>
      <c s="1853" t="s">
        <v>854</v>
      </c>
    </row>
    <row r="578" spans="1:9" ht="11.25" customHeight="1">
      <c r="A578" s="1853" t="s">
        <v>2247</v>
      </c>
      <c s="1853" t="s">
        <v>16</v>
      </c>
      <c s="1853" t="s">
        <v>3751</v>
      </c>
      <c s="1853" t="s">
        <v>3752</v>
      </c>
      <c s="1853" t="s">
        <v>3753</v>
      </c>
      <c s="1853" t="s">
        <v>2604</v>
      </c>
      <c s="1853" t="s">
        <v>3754</v>
      </c>
      <c s="1853" t="s">
        <v>22</v>
      </c>
      <c s="1853" t="s">
        <v>854</v>
      </c>
    </row>
    <row r="579" spans="1:9" ht="11.25" customHeight="1">
      <c r="A579" s="1853" t="s">
        <v>2247</v>
      </c>
      <c s="1853" t="s">
        <v>16</v>
      </c>
      <c s="1853" t="s">
        <v>3755</v>
      </c>
      <c s="1853" t="s">
        <v>3756</v>
      </c>
      <c s="1853" t="s">
        <v>3757</v>
      </c>
      <c s="1853" t="s">
        <v>2348</v>
      </c>
      <c s="1853" t="s">
        <v>2912</v>
      </c>
      <c s="1853" t="s">
        <v>22</v>
      </c>
      <c s="1853" t="s">
        <v>854</v>
      </c>
    </row>
    <row r="580" spans="1:9" ht="11.25" customHeight="1">
      <c r="A580" s="1853" t="s">
        <v>2247</v>
      </c>
      <c s="1853" t="s">
        <v>16</v>
      </c>
      <c s="1853" t="s">
        <v>3758</v>
      </c>
      <c s="1853" t="s">
        <v>3759</v>
      </c>
      <c s="1853" t="s">
        <v>3760</v>
      </c>
      <c s="1853" t="s">
        <v>2348</v>
      </c>
      <c s="1853" t="s">
        <v>3761</v>
      </c>
      <c s="1853" t="s">
        <v>22</v>
      </c>
      <c s="1853" t="s">
        <v>854</v>
      </c>
    </row>
    <row r="581" spans="1:9" ht="11.25" customHeight="1">
      <c r="A581" s="1853" t="s">
        <v>2247</v>
      </c>
      <c s="1853" t="s">
        <v>16</v>
      </c>
      <c s="1853" t="s">
        <v>3762</v>
      </c>
      <c s="1853" t="s">
        <v>3763</v>
      </c>
      <c s="1853" t="s">
        <v>3764</v>
      </c>
      <c s="1853" t="s">
        <v>3615</v>
      </c>
      <c s="1853" t="s">
        <v>3765</v>
      </c>
      <c s="1853" t="s">
        <v>22</v>
      </c>
      <c s="1853" t="s">
        <v>854</v>
      </c>
    </row>
    <row r="582" spans="1:9" ht="11.25" customHeight="1">
      <c r="A582" s="1853" t="s">
        <v>2247</v>
      </c>
      <c s="1853" t="s">
        <v>16</v>
      </c>
      <c s="1853" t="s">
        <v>3766</v>
      </c>
      <c s="1853" t="s">
        <v>3767</v>
      </c>
      <c s="1853" t="s">
        <v>3768</v>
      </c>
      <c s="1853" t="s">
        <v>2348</v>
      </c>
      <c s="1853" t="s">
        <v>3769</v>
      </c>
      <c s="1853" t="s">
        <v>22</v>
      </c>
      <c s="1853" t="s">
        <v>854</v>
      </c>
    </row>
    <row r="583" spans="1:9" ht="11.25" customHeight="1">
      <c r="A583" s="1853" t="s">
        <v>2247</v>
      </c>
      <c s="1853" t="s">
        <v>16</v>
      </c>
      <c s="1853" t="s">
        <v>3770</v>
      </c>
      <c s="1853" t="s">
        <v>3771</v>
      </c>
      <c s="1853" t="s">
        <v>3772</v>
      </c>
      <c s="1853" t="s">
        <v>2454</v>
      </c>
      <c s="1853" t="s">
        <v>3773</v>
      </c>
      <c s="1853" t="s">
        <v>22</v>
      </c>
      <c s="1853" t="s">
        <v>854</v>
      </c>
    </row>
    <row r="584" spans="1:9" ht="11.25" customHeight="1">
      <c r="A584" s="1853" t="s">
        <v>2247</v>
      </c>
      <c s="1853" t="s">
        <v>16</v>
      </c>
      <c s="1853" t="s">
        <v>3774</v>
      </c>
      <c s="1853" t="s">
        <v>3775</v>
      </c>
      <c s="1853" t="s">
        <v>3776</v>
      </c>
      <c s="1853" t="s">
        <v>2454</v>
      </c>
      <c s="1853" t="s">
        <v>3777</v>
      </c>
      <c s="1853" t="s">
        <v>22</v>
      </c>
      <c s="1853" t="s">
        <v>854</v>
      </c>
    </row>
    <row r="585" spans="1:9" ht="11.25" customHeight="1">
      <c r="A585" s="1853" t="s">
        <v>2247</v>
      </c>
      <c s="1853" t="s">
        <v>16</v>
      </c>
      <c s="1853" t="s">
        <v>3778</v>
      </c>
      <c s="1853" t="s">
        <v>3779</v>
      </c>
      <c s="1853" t="s">
        <v>3780</v>
      </c>
      <c s="1853" t="s">
        <v>2348</v>
      </c>
      <c s="1853" t="s">
        <v>22</v>
      </c>
      <c s="1853" t="s">
        <v>22</v>
      </c>
      <c s="1853" t="s">
        <v>854</v>
      </c>
    </row>
    <row r="586" spans="1:9" ht="11.25" customHeight="1">
      <c r="A586" s="1853" t="s">
        <v>2247</v>
      </c>
      <c s="1853" t="s">
        <v>16</v>
      </c>
      <c s="1853" t="s">
        <v>3781</v>
      </c>
      <c s="1853" t="s">
        <v>3782</v>
      </c>
      <c s="1853" t="s">
        <v>3783</v>
      </c>
      <c s="1853" t="s">
        <v>2454</v>
      </c>
      <c s="1853" t="s">
        <v>3784</v>
      </c>
      <c s="1853" t="s">
        <v>22</v>
      </c>
      <c s="1853" t="s">
        <v>854</v>
      </c>
    </row>
    <row r="587" spans="1:9" ht="11.25" customHeight="1">
      <c r="A587" s="1853" t="s">
        <v>2247</v>
      </c>
      <c s="1853" t="s">
        <v>16</v>
      </c>
      <c s="1853" t="s">
        <v>3785</v>
      </c>
      <c s="1853" t="s">
        <v>3786</v>
      </c>
      <c s="1853" t="s">
        <v>3787</v>
      </c>
      <c s="1853" t="s">
        <v>2348</v>
      </c>
      <c s="1853" t="s">
        <v>2869</v>
      </c>
      <c s="1853" t="s">
        <v>22</v>
      </c>
      <c s="1853" t="s">
        <v>854</v>
      </c>
    </row>
    <row r="588" spans="1:9" ht="11.25" customHeight="1">
      <c r="A588" s="1853" t="s">
        <v>2247</v>
      </c>
      <c s="1853" t="s">
        <v>16</v>
      </c>
      <c s="1853" t="s">
        <v>3788</v>
      </c>
      <c s="1853" t="s">
        <v>3789</v>
      </c>
      <c s="1853" t="s">
        <v>3790</v>
      </c>
      <c s="1853" t="s">
        <v>2348</v>
      </c>
      <c s="1853" t="s">
        <v>22</v>
      </c>
      <c s="1853" t="s">
        <v>22</v>
      </c>
      <c s="1853" t="s">
        <v>854</v>
      </c>
    </row>
    <row r="589" spans="1:9" ht="11.25" customHeight="1">
      <c r="A589" s="1853" t="s">
        <v>2247</v>
      </c>
      <c s="1853" t="s">
        <v>16</v>
      </c>
      <c s="1853" t="s">
        <v>3791</v>
      </c>
      <c s="1853" t="s">
        <v>3792</v>
      </c>
      <c s="1853" t="s">
        <v>3793</v>
      </c>
      <c s="1853" t="s">
        <v>3794</v>
      </c>
      <c s="1853" t="s">
        <v>3795</v>
      </c>
      <c s="1853" t="s">
        <v>22</v>
      </c>
      <c s="1853" t="s">
        <v>854</v>
      </c>
    </row>
    <row r="590" spans="1:9" ht="11.25" customHeight="1">
      <c r="A590" s="1853" t="s">
        <v>2247</v>
      </c>
      <c s="1853" t="s">
        <v>16</v>
      </c>
      <c s="1853" t="s">
        <v>3796</v>
      </c>
      <c s="1853" t="s">
        <v>3797</v>
      </c>
      <c s="1853" t="s">
        <v>3798</v>
      </c>
      <c s="1853" t="s">
        <v>2382</v>
      </c>
      <c s="1853" t="s">
        <v>3799</v>
      </c>
      <c s="1853" t="s">
        <v>22</v>
      </c>
      <c s="1853" t="s">
        <v>854</v>
      </c>
    </row>
    <row r="591" spans="1:9" ht="11.25" customHeight="1">
      <c r="A591" s="1853" t="s">
        <v>2247</v>
      </c>
      <c s="1853" t="s">
        <v>16</v>
      </c>
      <c s="1853" t="s">
        <v>3800</v>
      </c>
      <c s="1853" t="s">
        <v>3801</v>
      </c>
      <c s="1853" t="s">
        <v>3802</v>
      </c>
      <c s="1853" t="s">
        <v>2731</v>
      </c>
      <c s="1853" t="s">
        <v>3803</v>
      </c>
      <c s="1853" t="s">
        <v>22</v>
      </c>
      <c s="1853" t="s">
        <v>854</v>
      </c>
    </row>
    <row r="592" spans="1:9" ht="11.25" customHeight="1">
      <c r="A592" s="1853" t="s">
        <v>2247</v>
      </c>
      <c s="1853" t="s">
        <v>16</v>
      </c>
      <c s="1853" t="s">
        <v>3804</v>
      </c>
      <c s="1853" t="s">
        <v>3805</v>
      </c>
      <c s="1853" t="s">
        <v>3806</v>
      </c>
      <c s="1853" t="s">
        <v>2731</v>
      </c>
      <c s="1853" t="s">
        <v>3807</v>
      </c>
      <c s="1853" t="s">
        <v>22</v>
      </c>
      <c s="1853" t="s">
        <v>854</v>
      </c>
    </row>
    <row r="593" spans="1:9" ht="11.25" customHeight="1">
      <c r="A593" s="1853" t="s">
        <v>2247</v>
      </c>
      <c s="1853" t="s">
        <v>16</v>
      </c>
      <c s="1853" t="s">
        <v>3808</v>
      </c>
      <c s="1853" t="s">
        <v>3809</v>
      </c>
      <c s="1853" t="s">
        <v>3810</v>
      </c>
      <c s="1853" t="s">
        <v>3794</v>
      </c>
      <c s="1853" t="s">
        <v>3811</v>
      </c>
      <c s="1853" t="s">
        <v>22</v>
      </c>
      <c s="1853" t="s">
        <v>854</v>
      </c>
    </row>
    <row r="594" spans="1:9" ht="11.25" customHeight="1">
      <c r="A594" s="1853" t="s">
        <v>2247</v>
      </c>
      <c s="1853" t="s">
        <v>16</v>
      </c>
      <c s="1853" t="s">
        <v>3812</v>
      </c>
      <c s="1853" t="s">
        <v>3813</v>
      </c>
      <c s="1853" t="s">
        <v>3814</v>
      </c>
      <c s="1853" t="s">
        <v>2731</v>
      </c>
      <c s="1853" t="s">
        <v>3815</v>
      </c>
      <c s="1853" t="s">
        <v>22</v>
      </c>
      <c s="1853" t="s">
        <v>854</v>
      </c>
    </row>
    <row r="595" spans="1:9" ht="11.25" customHeight="1">
      <c r="A595" s="1853" t="s">
        <v>2247</v>
      </c>
      <c s="1853" t="s">
        <v>16</v>
      </c>
      <c s="1853" t="s">
        <v>3816</v>
      </c>
      <c s="1853" t="s">
        <v>3817</v>
      </c>
      <c s="1853" t="s">
        <v>3818</v>
      </c>
      <c s="1853" t="s">
        <v>2731</v>
      </c>
      <c s="1853" t="s">
        <v>3803</v>
      </c>
      <c s="1853" t="s">
        <v>22</v>
      </c>
      <c s="1853" t="s">
        <v>854</v>
      </c>
    </row>
    <row r="596" spans="1:9" ht="11.25" customHeight="1">
      <c r="A596" s="1853" t="s">
        <v>2247</v>
      </c>
      <c s="1853" t="s">
        <v>16</v>
      </c>
      <c s="1853" t="s">
        <v>3819</v>
      </c>
      <c s="1853" t="s">
        <v>3820</v>
      </c>
      <c s="1853" t="s">
        <v>3821</v>
      </c>
      <c s="1853" t="s">
        <v>2731</v>
      </c>
      <c s="1853" t="s">
        <v>3803</v>
      </c>
      <c s="1853" t="s">
        <v>22</v>
      </c>
      <c s="1853" t="s">
        <v>854</v>
      </c>
    </row>
    <row r="597" spans="1:9" ht="11.25" customHeight="1">
      <c r="A597" s="1853" t="s">
        <v>2247</v>
      </c>
      <c s="1853" t="s">
        <v>16</v>
      </c>
      <c s="1853" t="s">
        <v>3822</v>
      </c>
      <c s="1853" t="s">
        <v>3823</v>
      </c>
      <c s="1853" t="s">
        <v>3824</v>
      </c>
      <c s="1853" t="s">
        <v>2712</v>
      </c>
      <c s="1853" t="s">
        <v>3825</v>
      </c>
      <c s="1853" t="s">
        <v>3826</v>
      </c>
      <c s="1853" t="s">
        <v>854</v>
      </c>
    </row>
    <row r="598" spans="1:9" ht="11.25" customHeight="1">
      <c r="A598" s="1853" t="s">
        <v>2247</v>
      </c>
      <c s="1853" t="s">
        <v>16</v>
      </c>
      <c s="1853" t="s">
        <v>3827</v>
      </c>
      <c s="1853" t="s">
        <v>3828</v>
      </c>
      <c s="1853" t="s">
        <v>3829</v>
      </c>
      <c s="1853" t="s">
        <v>2382</v>
      </c>
      <c s="1853" t="s">
        <v>2916</v>
      </c>
      <c s="1853" t="s">
        <v>22</v>
      </c>
      <c s="1853" t="s">
        <v>854</v>
      </c>
    </row>
    <row r="599" spans="1:9" ht="11.25" customHeight="1">
      <c r="A599" s="1853" t="s">
        <v>2247</v>
      </c>
      <c s="1853" t="s">
        <v>16</v>
      </c>
      <c s="1853" t="s">
        <v>3830</v>
      </c>
      <c s="1853" t="s">
        <v>3831</v>
      </c>
      <c s="1853" t="s">
        <v>3832</v>
      </c>
      <c s="1853" t="s">
        <v>2604</v>
      </c>
      <c s="1853" t="s">
        <v>3833</v>
      </c>
      <c s="1853" t="s">
        <v>22</v>
      </c>
      <c s="1853" t="s">
        <v>854</v>
      </c>
    </row>
    <row r="600" spans="1:9" ht="11.25" customHeight="1">
      <c r="A600" s="1853" t="s">
        <v>2247</v>
      </c>
      <c s="1853" t="s">
        <v>16</v>
      </c>
      <c s="1853" t="s">
        <v>2552</v>
      </c>
      <c s="1853" t="s">
        <v>2553</v>
      </c>
      <c s="1853" t="s">
        <v>2554</v>
      </c>
      <c s="1853" t="s">
        <v>2555</v>
      </c>
      <c s="1853" t="s">
        <v>2556</v>
      </c>
      <c s="1853" t="s">
        <v>22</v>
      </c>
      <c s="1853" t="s">
        <v>854</v>
      </c>
    </row>
    <row r="601" spans="1:9" ht="11.25" customHeight="1">
      <c r="A601" s="1853" t="s">
        <v>2247</v>
      </c>
      <c s="1853" t="s">
        <v>16</v>
      </c>
      <c s="1853" t="s">
        <v>3834</v>
      </c>
      <c s="1853" t="s">
        <v>3835</v>
      </c>
      <c s="1853" t="s">
        <v>3836</v>
      </c>
      <c s="1853" t="s">
        <v>2555</v>
      </c>
      <c s="1853" t="s">
        <v>3837</v>
      </c>
      <c s="1853" t="s">
        <v>22</v>
      </c>
      <c s="1853" t="s">
        <v>854</v>
      </c>
    </row>
    <row r="602" spans="1:9" ht="11.25" customHeight="1">
      <c r="A602" s="1853" t="s">
        <v>2247</v>
      </c>
      <c s="1853" t="s">
        <v>16</v>
      </c>
      <c s="1853" t="s">
        <v>3838</v>
      </c>
      <c s="1853" t="s">
        <v>3839</v>
      </c>
      <c s="1853" t="s">
        <v>3840</v>
      </c>
      <c s="1853" t="s">
        <v>2555</v>
      </c>
      <c s="1853" t="s">
        <v>3837</v>
      </c>
      <c s="1853" t="s">
        <v>22</v>
      </c>
      <c s="1853" t="s">
        <v>854</v>
      </c>
    </row>
    <row r="603" spans="1:9" ht="11.25" customHeight="1">
      <c r="A603" s="1853" t="s">
        <v>2247</v>
      </c>
      <c s="1853" t="s">
        <v>16</v>
      </c>
      <c s="1853" t="s">
        <v>3841</v>
      </c>
      <c s="1853" t="s">
        <v>3842</v>
      </c>
      <c s="1853" t="s">
        <v>3843</v>
      </c>
      <c s="1853" t="s">
        <v>2555</v>
      </c>
      <c s="1853" t="s">
        <v>3844</v>
      </c>
      <c s="1853" t="s">
        <v>22</v>
      </c>
      <c s="1853" t="s">
        <v>854</v>
      </c>
    </row>
    <row r="604" spans="1:9" ht="11.25" customHeight="1">
      <c r="A604" s="1853" t="s">
        <v>2247</v>
      </c>
      <c s="1853" t="s">
        <v>16</v>
      </c>
      <c s="1853" t="s">
        <v>3845</v>
      </c>
      <c s="1853" t="s">
        <v>3846</v>
      </c>
      <c s="1853" t="s">
        <v>3847</v>
      </c>
      <c s="1853" t="s">
        <v>2639</v>
      </c>
      <c s="1853" t="s">
        <v>3848</v>
      </c>
      <c s="1853" t="s">
        <v>22</v>
      </c>
      <c s="1853" t="s">
        <v>854</v>
      </c>
    </row>
    <row r="605" spans="1:9" ht="11.25" customHeight="1">
      <c r="A605" s="1853" t="s">
        <v>2247</v>
      </c>
      <c s="1853" t="s">
        <v>16</v>
      </c>
      <c s="1853" t="s">
        <v>3849</v>
      </c>
      <c s="1853" t="s">
        <v>3850</v>
      </c>
      <c s="1853" t="s">
        <v>3851</v>
      </c>
      <c s="1853" t="s">
        <v>2499</v>
      </c>
      <c s="1853" t="s">
        <v>3852</v>
      </c>
      <c s="1853" t="s">
        <v>22</v>
      </c>
      <c s="1853" t="s">
        <v>854</v>
      </c>
    </row>
    <row r="606" spans="1:9" ht="11.25" customHeight="1">
      <c r="A606" s="1853" t="s">
        <v>2247</v>
      </c>
      <c s="1853" t="s">
        <v>16</v>
      </c>
      <c s="1853" t="s">
        <v>2565</v>
      </c>
      <c s="1853" t="s">
        <v>2566</v>
      </c>
      <c s="1853" t="s">
        <v>2567</v>
      </c>
      <c s="1853" t="s">
        <v>2568</v>
      </c>
      <c s="1853" t="s">
        <v>22</v>
      </c>
      <c s="1853" t="s">
        <v>22</v>
      </c>
      <c s="1853" t="s">
        <v>854</v>
      </c>
    </row>
    <row r="607" spans="1:9" ht="11.25" customHeight="1">
      <c r="A607" s="1853" t="s">
        <v>2247</v>
      </c>
      <c s="1853" t="s">
        <v>16</v>
      </c>
      <c s="1853" t="s">
        <v>2569</v>
      </c>
      <c s="1853" t="s">
        <v>2570</v>
      </c>
      <c s="1853" t="s">
        <v>2571</v>
      </c>
      <c s="1853" t="s">
        <v>2283</v>
      </c>
      <c s="1853" t="s">
        <v>22</v>
      </c>
      <c s="1853" t="s">
        <v>22</v>
      </c>
      <c s="1853" t="s">
        <v>854</v>
      </c>
    </row>
    <row r="608" spans="1:9" ht="11.25" customHeight="1">
      <c r="A608" s="1853" t="s">
        <v>2247</v>
      </c>
      <c s="1853" t="s">
        <v>16</v>
      </c>
      <c s="1853" t="s">
        <v>2572</v>
      </c>
      <c s="1853" t="s">
        <v>2573</v>
      </c>
      <c s="1853" t="s">
        <v>2574</v>
      </c>
      <c s="1853" t="s">
        <v>2575</v>
      </c>
      <c s="1853" t="s">
        <v>22</v>
      </c>
      <c s="1853" t="s">
        <v>22</v>
      </c>
      <c s="1853" t="s">
        <v>854</v>
      </c>
    </row>
    <row r="609" spans="1:9" ht="11.25" customHeight="1">
      <c r="A609" s="1853" t="s">
        <v>2247</v>
      </c>
      <c s="1853" t="s">
        <v>16</v>
      </c>
      <c s="1853" t="s">
        <v>3853</v>
      </c>
      <c s="1853" t="s">
        <v>3854</v>
      </c>
      <c s="1853" t="s">
        <v>3855</v>
      </c>
      <c s="1853" t="s">
        <v>2555</v>
      </c>
      <c s="1853" t="s">
        <v>3856</v>
      </c>
      <c s="1853" t="s">
        <v>22</v>
      </c>
      <c s="1853" t="s">
        <v>854</v>
      </c>
    </row>
    <row r="610" spans="1:9" ht="11.25" customHeight="1">
      <c r="A610" s="1853" t="s">
        <v>2247</v>
      </c>
      <c s="1853" t="s">
        <v>16</v>
      </c>
      <c s="1853" t="s">
        <v>3857</v>
      </c>
      <c s="1853" t="s">
        <v>3858</v>
      </c>
      <c s="1853" t="s">
        <v>3859</v>
      </c>
      <c s="1853" t="s">
        <v>2555</v>
      </c>
      <c s="1853" t="s">
        <v>3860</v>
      </c>
      <c s="1853" t="s">
        <v>22</v>
      </c>
      <c s="1853" t="s">
        <v>854</v>
      </c>
    </row>
    <row r="611" spans="1:9" ht="11.25" customHeight="1">
      <c r="A611" s="1853" t="s">
        <v>2247</v>
      </c>
      <c s="1853" t="s">
        <v>16</v>
      </c>
      <c s="1853" t="s">
        <v>3861</v>
      </c>
      <c s="1853" t="s">
        <v>3862</v>
      </c>
      <c s="1853" t="s">
        <v>3863</v>
      </c>
      <c s="1853" t="s">
        <v>2712</v>
      </c>
      <c s="1853" t="s">
        <v>22</v>
      </c>
      <c s="1853" t="s">
        <v>22</v>
      </c>
      <c s="1853" t="s">
        <v>854</v>
      </c>
    </row>
    <row r="612" spans="1:9" ht="11.25" customHeight="1">
      <c r="A612" s="1853" t="s">
        <v>2247</v>
      </c>
      <c s="1853" t="s">
        <v>16</v>
      </c>
      <c s="1853" t="s">
        <v>3864</v>
      </c>
      <c s="1853" t="s">
        <v>3865</v>
      </c>
      <c s="1853" t="s">
        <v>3866</v>
      </c>
      <c s="1853" t="s">
        <v>2555</v>
      </c>
      <c s="1853" t="s">
        <v>3867</v>
      </c>
      <c s="1853" t="s">
        <v>22</v>
      </c>
      <c s="1853" t="s">
        <v>854</v>
      </c>
    </row>
    <row r="613" spans="1:9" ht="11.25" customHeight="1">
      <c r="A613" s="1853" t="s">
        <v>2247</v>
      </c>
      <c s="1853" t="s">
        <v>16</v>
      </c>
      <c s="1853" t="s">
        <v>2576</v>
      </c>
      <c s="1853" t="s">
        <v>2577</v>
      </c>
      <c s="1853" t="s">
        <v>2578</v>
      </c>
      <c s="1853" t="s">
        <v>2579</v>
      </c>
      <c s="1853" t="s">
        <v>2580</v>
      </c>
      <c s="1853" t="s">
        <v>22</v>
      </c>
      <c s="1853" t="s">
        <v>854</v>
      </c>
    </row>
    <row r="614" spans="1:9" ht="11.25" customHeight="1">
      <c r="A614" s="1853" t="s">
        <v>2247</v>
      </c>
      <c s="1853" t="s">
        <v>16</v>
      </c>
      <c s="1853" t="s">
        <v>3868</v>
      </c>
      <c s="1853" t="s">
        <v>3869</v>
      </c>
      <c s="1853" t="s">
        <v>3870</v>
      </c>
      <c s="1853" t="s">
        <v>2579</v>
      </c>
      <c s="1853" t="s">
        <v>3871</v>
      </c>
      <c s="1853" t="s">
        <v>22</v>
      </c>
      <c s="1853" t="s">
        <v>854</v>
      </c>
    </row>
    <row r="615" spans="1:9" ht="11.25" customHeight="1">
      <c r="A615" s="1853" t="s">
        <v>2247</v>
      </c>
      <c s="1853" t="s">
        <v>16</v>
      </c>
      <c s="1853" t="s">
        <v>3872</v>
      </c>
      <c s="1853" t="s">
        <v>3873</v>
      </c>
      <c s="1853" t="s">
        <v>3874</v>
      </c>
      <c s="1853" t="s">
        <v>2584</v>
      </c>
      <c s="1853" t="s">
        <v>22</v>
      </c>
      <c s="1853" t="s">
        <v>22</v>
      </c>
      <c s="1853" t="s">
        <v>854</v>
      </c>
    </row>
    <row r="616" spans="1:9" ht="11.25" customHeight="1">
      <c r="A616" s="1853" t="s">
        <v>2247</v>
      </c>
      <c s="1853" t="s">
        <v>16</v>
      </c>
      <c s="1853" t="s">
        <v>3875</v>
      </c>
      <c s="1853" t="s">
        <v>3876</v>
      </c>
      <c s="1853" t="s">
        <v>3877</v>
      </c>
      <c s="1853" t="s">
        <v>2584</v>
      </c>
      <c s="1853" t="s">
        <v>3878</v>
      </c>
      <c s="1853" t="s">
        <v>22</v>
      </c>
      <c s="1853" t="s">
        <v>854</v>
      </c>
    </row>
    <row r="617" spans="1:9" ht="11.25" customHeight="1">
      <c r="A617" s="1853" t="s">
        <v>2247</v>
      </c>
      <c s="1853" t="s">
        <v>16</v>
      </c>
      <c s="1853" t="s">
        <v>2581</v>
      </c>
      <c s="1853" t="s">
        <v>2582</v>
      </c>
      <c s="1853" t="s">
        <v>2583</v>
      </c>
      <c s="1853" t="s">
        <v>2584</v>
      </c>
      <c s="1853" t="s">
        <v>22</v>
      </c>
      <c s="1853" t="s">
        <v>22</v>
      </c>
      <c s="1853" t="s">
        <v>854</v>
      </c>
    </row>
    <row r="618" spans="1:9" ht="11.25" customHeight="1">
      <c r="A618" s="1853" t="s">
        <v>2247</v>
      </c>
      <c s="1853" t="s">
        <v>16</v>
      </c>
      <c s="1853" t="s">
        <v>3879</v>
      </c>
      <c s="1853" t="s">
        <v>3880</v>
      </c>
      <c s="1853" t="s">
        <v>3881</v>
      </c>
      <c s="1853" t="s">
        <v>2584</v>
      </c>
      <c s="1853" t="s">
        <v>22</v>
      </c>
      <c s="1853" t="s">
        <v>22</v>
      </c>
      <c s="1853" t="s">
        <v>854</v>
      </c>
    </row>
    <row r="619" spans="1:9" ht="11.25" customHeight="1">
      <c r="A619" s="1853" t="s">
        <v>2247</v>
      </c>
      <c s="1853" t="s">
        <v>16</v>
      </c>
      <c s="1853" t="s">
        <v>3882</v>
      </c>
      <c s="1853" t="s">
        <v>3883</v>
      </c>
      <c s="1853" t="s">
        <v>3884</v>
      </c>
      <c s="1853" t="s">
        <v>2584</v>
      </c>
      <c s="1853" t="s">
        <v>22</v>
      </c>
      <c s="1853" t="s">
        <v>22</v>
      </c>
      <c s="1853" t="s">
        <v>854</v>
      </c>
    </row>
    <row r="620" spans="1:9" ht="11.25" customHeight="1">
      <c r="A620" s="1853" t="s">
        <v>2247</v>
      </c>
      <c s="1853" t="s">
        <v>16</v>
      </c>
      <c s="1853" t="s">
        <v>2585</v>
      </c>
      <c s="1853" t="s">
        <v>2586</v>
      </c>
      <c s="1853" t="s">
        <v>2587</v>
      </c>
      <c s="1853" t="s">
        <v>2588</v>
      </c>
      <c s="1853" t="s">
        <v>2589</v>
      </c>
      <c s="1853" t="s">
        <v>22</v>
      </c>
      <c s="1853" t="s">
        <v>854</v>
      </c>
    </row>
    <row r="621" spans="1:9" ht="11.25" customHeight="1">
      <c r="A621" s="1853" t="s">
        <v>2247</v>
      </c>
      <c s="1853" t="s">
        <v>16</v>
      </c>
      <c s="1853" t="s">
        <v>3885</v>
      </c>
      <c s="1853" t="s">
        <v>3886</v>
      </c>
      <c s="1853" t="s">
        <v>3887</v>
      </c>
      <c s="1853" t="s">
        <v>2260</v>
      </c>
      <c s="1853" t="s">
        <v>3574</v>
      </c>
      <c s="1853" t="s">
        <v>22</v>
      </c>
      <c s="1853" t="s">
        <v>854</v>
      </c>
    </row>
    <row r="622" spans="1:9" ht="11.25" customHeight="1">
      <c r="A622" s="1853" t="s">
        <v>2247</v>
      </c>
      <c s="1853" t="s">
        <v>16</v>
      </c>
      <c s="1853" t="s">
        <v>3888</v>
      </c>
      <c s="1853" t="s">
        <v>3889</v>
      </c>
      <c s="1853" t="s">
        <v>3890</v>
      </c>
      <c s="1853" t="s">
        <v>2584</v>
      </c>
      <c s="1853" t="s">
        <v>22</v>
      </c>
      <c s="1853" t="s">
        <v>22</v>
      </c>
      <c s="1853" t="s">
        <v>854</v>
      </c>
    </row>
    <row r="623" spans="1:9" ht="11.25" customHeight="1">
      <c r="A623" s="1853" t="s">
        <v>2247</v>
      </c>
      <c s="1853" t="s">
        <v>16</v>
      </c>
      <c s="1853" t="s">
        <v>2590</v>
      </c>
      <c s="1853" t="s">
        <v>2591</v>
      </c>
      <c s="1853" t="s">
        <v>2592</v>
      </c>
      <c s="1853" t="s">
        <v>2503</v>
      </c>
      <c s="1853" t="s">
        <v>22</v>
      </c>
      <c s="1853" t="s">
        <v>22</v>
      </c>
      <c s="1853" t="s">
        <v>854</v>
      </c>
    </row>
    <row r="624" spans="1:9" ht="11.25" customHeight="1">
      <c r="A624" s="1853" t="s">
        <v>2247</v>
      </c>
      <c s="1853" t="s">
        <v>16</v>
      </c>
      <c s="1853" t="s">
        <v>3891</v>
      </c>
      <c s="1853" t="s">
        <v>3892</v>
      </c>
      <c s="1853" t="s">
        <v>3893</v>
      </c>
      <c s="1853" t="s">
        <v>2464</v>
      </c>
      <c s="1853" t="s">
        <v>3894</v>
      </c>
      <c s="1853" t="s">
        <v>22</v>
      </c>
      <c s="1853" t="s">
        <v>854</v>
      </c>
    </row>
    <row r="625" spans="1:9" ht="11.25" customHeight="1">
      <c r="A625" s="1853" t="s">
        <v>2247</v>
      </c>
      <c s="1853" t="s">
        <v>16</v>
      </c>
      <c s="1853" t="s">
        <v>3895</v>
      </c>
      <c s="1853" t="s">
        <v>3896</v>
      </c>
      <c s="1853" t="s">
        <v>3897</v>
      </c>
      <c s="1853" t="s">
        <v>2382</v>
      </c>
      <c s="1853" t="s">
        <v>3898</v>
      </c>
      <c s="1853" t="s">
        <v>22</v>
      </c>
      <c s="1853" t="s">
        <v>854</v>
      </c>
    </row>
    <row r="626" spans="1:9" ht="11.25" customHeight="1">
      <c r="A626" s="1853" t="s">
        <v>2247</v>
      </c>
      <c s="1853" t="s">
        <v>16</v>
      </c>
      <c s="1853" t="s">
        <v>3899</v>
      </c>
      <c s="1853" t="s">
        <v>3900</v>
      </c>
      <c s="1853" t="s">
        <v>3901</v>
      </c>
      <c s="1853" t="s">
        <v>3056</v>
      </c>
      <c s="1853" t="s">
        <v>3902</v>
      </c>
      <c s="1853" t="s">
        <v>22</v>
      </c>
      <c s="1853" t="s">
        <v>854</v>
      </c>
    </row>
    <row r="627" spans="1:9" ht="11.25" customHeight="1">
      <c r="A627" s="1853" t="s">
        <v>2247</v>
      </c>
      <c s="1853" t="s">
        <v>16</v>
      </c>
      <c s="1853" t="s">
        <v>3903</v>
      </c>
      <c s="1853" t="s">
        <v>3904</v>
      </c>
      <c s="1853" t="s">
        <v>3905</v>
      </c>
      <c s="1853" t="s">
        <v>2454</v>
      </c>
      <c s="1853" t="s">
        <v>3906</v>
      </c>
      <c s="1853" t="s">
        <v>22</v>
      </c>
      <c s="1853" t="s">
        <v>854</v>
      </c>
    </row>
    <row r="628" spans="1:9" ht="11.25" customHeight="1">
      <c r="A628" s="1853" t="s">
        <v>2247</v>
      </c>
      <c s="1853" t="s">
        <v>16</v>
      </c>
      <c s="1853" t="s">
        <v>3907</v>
      </c>
      <c s="1853" t="s">
        <v>3908</v>
      </c>
      <c s="1853" t="s">
        <v>3909</v>
      </c>
      <c s="1853" t="s">
        <v>2596</v>
      </c>
      <c s="1853" t="s">
        <v>3910</v>
      </c>
      <c s="1853" t="s">
        <v>22</v>
      </c>
      <c s="1853" t="s">
        <v>854</v>
      </c>
    </row>
    <row r="629" spans="1:9" ht="11.25" customHeight="1">
      <c r="A629" s="1853" t="s">
        <v>2247</v>
      </c>
      <c s="1853" t="s">
        <v>16</v>
      </c>
      <c s="1853" t="s">
        <v>3911</v>
      </c>
      <c s="1853" t="s">
        <v>3912</v>
      </c>
      <c s="1853" t="s">
        <v>3913</v>
      </c>
      <c s="1853" t="s">
        <v>2588</v>
      </c>
      <c s="1853" t="s">
        <v>3914</v>
      </c>
      <c s="1853" t="s">
        <v>22</v>
      </c>
      <c s="1853" t="s">
        <v>854</v>
      </c>
    </row>
    <row r="630" spans="1:9" ht="11.25" customHeight="1">
      <c r="A630" s="1853" t="s">
        <v>2247</v>
      </c>
      <c s="1853" t="s">
        <v>16</v>
      </c>
      <c s="1853" t="s">
        <v>3915</v>
      </c>
      <c s="1853" t="s">
        <v>3916</v>
      </c>
      <c s="1853" t="s">
        <v>3917</v>
      </c>
      <c s="1853" t="s">
        <v>2265</v>
      </c>
      <c s="1853" t="s">
        <v>3918</v>
      </c>
      <c s="1853" t="s">
        <v>22</v>
      </c>
      <c s="1853" t="s">
        <v>854</v>
      </c>
    </row>
    <row r="631" spans="1:9" ht="11.25" customHeight="1">
      <c r="A631" s="1853" t="s">
        <v>2247</v>
      </c>
      <c s="1853" t="s">
        <v>16</v>
      </c>
      <c s="1853" t="s">
        <v>3919</v>
      </c>
      <c s="1853" t="s">
        <v>3916</v>
      </c>
      <c s="1853" t="s">
        <v>3920</v>
      </c>
      <c s="1853" t="s">
        <v>2499</v>
      </c>
      <c s="1853" t="s">
        <v>3921</v>
      </c>
      <c s="1853" t="s">
        <v>22</v>
      </c>
      <c s="1853" t="s">
        <v>854</v>
      </c>
    </row>
    <row r="632" spans="1:9" ht="11.25" customHeight="1">
      <c r="A632" s="1853" t="s">
        <v>2247</v>
      </c>
      <c s="1853" t="s">
        <v>16</v>
      </c>
      <c s="1853" t="s">
        <v>3922</v>
      </c>
      <c s="1853" t="s">
        <v>3923</v>
      </c>
      <c s="1853" t="s">
        <v>3924</v>
      </c>
      <c s="1853" t="s">
        <v>2731</v>
      </c>
      <c s="1853" t="s">
        <v>3925</v>
      </c>
      <c s="1853" t="s">
        <v>22</v>
      </c>
      <c s="1853" t="s">
        <v>854</v>
      </c>
    </row>
    <row r="633" spans="1:9" ht="11.25" customHeight="1">
      <c r="A633" s="1853" t="s">
        <v>2247</v>
      </c>
      <c s="1853" t="s">
        <v>16</v>
      </c>
      <c s="1853" t="s">
        <v>3926</v>
      </c>
      <c s="1853" t="s">
        <v>3927</v>
      </c>
      <c s="1853" t="s">
        <v>3928</v>
      </c>
      <c s="1853" t="s">
        <v>3203</v>
      </c>
      <c s="1853" t="s">
        <v>22</v>
      </c>
      <c s="1853" t="s">
        <v>22</v>
      </c>
      <c s="1853" t="s">
        <v>854</v>
      </c>
    </row>
    <row r="634" spans="1:9" ht="11.25" customHeight="1">
      <c r="A634" s="1853" t="s">
        <v>2247</v>
      </c>
      <c s="1853" t="s">
        <v>16</v>
      </c>
      <c s="1853" t="s">
        <v>3929</v>
      </c>
      <c s="1853" t="s">
        <v>3930</v>
      </c>
      <c s="1853" t="s">
        <v>3931</v>
      </c>
      <c s="1853" t="s">
        <v>2464</v>
      </c>
      <c s="1853" t="s">
        <v>3932</v>
      </c>
      <c s="1853" t="s">
        <v>22</v>
      </c>
      <c s="1853" t="s">
        <v>854</v>
      </c>
    </row>
    <row r="635" spans="1:9" ht="11.25" customHeight="1">
      <c r="A635" s="1853" t="s">
        <v>2247</v>
      </c>
      <c s="1853" t="s">
        <v>16</v>
      </c>
      <c s="1853" t="s">
        <v>3933</v>
      </c>
      <c s="1853" t="s">
        <v>3934</v>
      </c>
      <c s="1853" t="s">
        <v>3935</v>
      </c>
      <c s="1853" t="s">
        <v>2328</v>
      </c>
      <c s="1853" t="s">
        <v>22</v>
      </c>
      <c s="1853" t="s">
        <v>22</v>
      </c>
      <c s="1853" t="s">
        <v>854</v>
      </c>
    </row>
    <row r="636" spans="1:9" ht="11.25" customHeight="1">
      <c r="A636" s="1853" t="s">
        <v>2247</v>
      </c>
      <c s="1853" t="s">
        <v>16</v>
      </c>
      <c s="1853" t="s">
        <v>3936</v>
      </c>
      <c s="1853" t="s">
        <v>3937</v>
      </c>
      <c s="1853" t="s">
        <v>3938</v>
      </c>
      <c s="1853" t="s">
        <v>2675</v>
      </c>
      <c s="1853" t="s">
        <v>3939</v>
      </c>
      <c s="1853" t="s">
        <v>22</v>
      </c>
      <c s="1853" t="s">
        <v>854</v>
      </c>
    </row>
    <row r="637" spans="1:9" ht="11.25" customHeight="1">
      <c r="A637" s="1853" t="s">
        <v>2247</v>
      </c>
      <c s="1853" t="s">
        <v>16</v>
      </c>
      <c s="1853" t="s">
        <v>3940</v>
      </c>
      <c s="1853" t="s">
        <v>3941</v>
      </c>
      <c s="1853" t="s">
        <v>3942</v>
      </c>
      <c s="1853" t="s">
        <v>2551</v>
      </c>
      <c s="1853" t="s">
        <v>3943</v>
      </c>
      <c s="1853" t="s">
        <v>22</v>
      </c>
      <c s="1853" t="s">
        <v>854</v>
      </c>
    </row>
    <row r="638" spans="1:9" ht="11.25" customHeight="1">
      <c r="A638" s="1853" t="s">
        <v>2247</v>
      </c>
      <c s="1853" t="s">
        <v>16</v>
      </c>
      <c s="1853" t="s">
        <v>3944</v>
      </c>
      <c s="1853" t="s">
        <v>3945</v>
      </c>
      <c s="1853" t="s">
        <v>3946</v>
      </c>
      <c s="1853" t="s">
        <v>2584</v>
      </c>
      <c s="1853" t="s">
        <v>22</v>
      </c>
      <c s="1853" t="s">
        <v>22</v>
      </c>
      <c s="1853" t="s">
        <v>854</v>
      </c>
    </row>
    <row r="639" spans="1:9" ht="11.25" customHeight="1">
      <c r="A639" s="1853" t="s">
        <v>2247</v>
      </c>
      <c s="1853" t="s">
        <v>16</v>
      </c>
      <c s="1853" t="s">
        <v>3947</v>
      </c>
      <c s="1853" t="s">
        <v>3948</v>
      </c>
      <c s="1853" t="s">
        <v>3949</v>
      </c>
      <c s="1853" t="s">
        <v>2382</v>
      </c>
      <c s="1853" t="s">
        <v>3950</v>
      </c>
      <c s="1853" t="s">
        <v>22</v>
      </c>
      <c s="1853" t="s">
        <v>854</v>
      </c>
    </row>
    <row r="640" spans="1:9" ht="11.25" customHeight="1">
      <c r="A640" s="1853" t="s">
        <v>2247</v>
      </c>
      <c s="1853" t="s">
        <v>16</v>
      </c>
      <c s="1853" t="s">
        <v>2597</v>
      </c>
      <c s="1853" t="s">
        <v>2598</v>
      </c>
      <c s="1853" t="s">
        <v>2599</v>
      </c>
      <c s="1853" t="s">
        <v>2260</v>
      </c>
      <c s="1853" t="s">
        <v>2600</v>
      </c>
      <c s="1853" t="s">
        <v>22</v>
      </c>
      <c s="1853" t="s">
        <v>854</v>
      </c>
    </row>
    <row r="641" spans="1:9" ht="11.25" customHeight="1">
      <c r="A641" s="1853" t="s">
        <v>2247</v>
      </c>
      <c s="1853" t="s">
        <v>16</v>
      </c>
      <c s="1853" t="s">
        <v>3951</v>
      </c>
      <c s="1853" t="s">
        <v>3952</v>
      </c>
      <c s="1853" t="s">
        <v>3953</v>
      </c>
      <c s="1853" t="s">
        <v>3954</v>
      </c>
      <c s="1853" t="s">
        <v>22</v>
      </c>
      <c s="1853" t="s">
        <v>22</v>
      </c>
      <c s="1853" t="s">
        <v>854</v>
      </c>
    </row>
    <row r="642" spans="1:9" ht="11.25" customHeight="1">
      <c r="A642" s="1853" t="s">
        <v>2247</v>
      </c>
      <c s="1853" t="s">
        <v>16</v>
      </c>
      <c s="1853" t="s">
        <v>2601</v>
      </c>
      <c s="1853" t="s">
        <v>2602</v>
      </c>
      <c s="1853" t="s">
        <v>2603</v>
      </c>
      <c s="1853" t="s">
        <v>2604</v>
      </c>
      <c s="1853" t="s">
        <v>2605</v>
      </c>
      <c s="1853" t="s">
        <v>22</v>
      </c>
      <c s="1853" t="s">
        <v>854</v>
      </c>
    </row>
    <row r="643" spans="1:9" ht="11.25" customHeight="1">
      <c r="A643" s="1853" t="s">
        <v>2247</v>
      </c>
      <c s="1853" t="s">
        <v>16</v>
      </c>
      <c s="1853" t="s">
        <v>3955</v>
      </c>
      <c s="1853" t="s">
        <v>3956</v>
      </c>
      <c s="1853" t="s">
        <v>3957</v>
      </c>
      <c s="1853" t="s">
        <v>2551</v>
      </c>
      <c s="1853" t="s">
        <v>3958</v>
      </c>
      <c s="1853" t="s">
        <v>22</v>
      </c>
      <c s="1853" t="s">
        <v>854</v>
      </c>
    </row>
    <row r="644" spans="1:9" ht="11.25" customHeight="1">
      <c r="A644" s="1853" t="s">
        <v>2247</v>
      </c>
      <c s="1853" t="s">
        <v>16</v>
      </c>
      <c s="1853" t="s">
        <v>3959</v>
      </c>
      <c s="1853" t="s">
        <v>3960</v>
      </c>
      <c s="1853" t="s">
        <v>3961</v>
      </c>
      <c s="1853" t="s">
        <v>2464</v>
      </c>
      <c s="1853" t="s">
        <v>3962</v>
      </c>
      <c s="1853" t="s">
        <v>22</v>
      </c>
      <c s="1853" t="s">
        <v>854</v>
      </c>
    </row>
    <row r="645" spans="1:9" ht="11.25" customHeight="1">
      <c r="A645" s="1853" t="s">
        <v>2247</v>
      </c>
      <c s="1853" t="s">
        <v>16</v>
      </c>
      <c s="1853" t="s">
        <v>3963</v>
      </c>
      <c s="1853" t="s">
        <v>3964</v>
      </c>
      <c s="1853" t="s">
        <v>3965</v>
      </c>
      <c s="1853" t="s">
        <v>2551</v>
      </c>
      <c s="1853" t="s">
        <v>3966</v>
      </c>
      <c s="1853" t="s">
        <v>3967</v>
      </c>
      <c s="1853" t="s">
        <v>854</v>
      </c>
    </row>
    <row r="646" spans="1:9" ht="11.25" customHeight="1">
      <c r="A646" s="1853" t="s">
        <v>2247</v>
      </c>
      <c s="1853" t="s">
        <v>16</v>
      </c>
      <c s="1853" t="s">
        <v>2606</v>
      </c>
      <c s="1853" t="s">
        <v>2607</v>
      </c>
      <c s="1853" t="s">
        <v>2608</v>
      </c>
      <c s="1853" t="s">
        <v>2507</v>
      </c>
      <c s="1853" t="s">
        <v>2508</v>
      </c>
      <c s="1853" t="s">
        <v>22</v>
      </c>
      <c s="1853" t="s">
        <v>854</v>
      </c>
    </row>
    <row r="647" spans="1:9" ht="11.25" customHeight="1">
      <c r="A647" s="1853" t="s">
        <v>2247</v>
      </c>
      <c s="1853" t="s">
        <v>16</v>
      </c>
      <c s="1853" t="s">
        <v>3968</v>
      </c>
      <c s="1853" t="s">
        <v>3969</v>
      </c>
      <c s="1853" t="s">
        <v>3970</v>
      </c>
      <c s="1853" t="s">
        <v>2551</v>
      </c>
      <c s="1853" t="s">
        <v>3971</v>
      </c>
      <c s="1853" t="s">
        <v>3967</v>
      </c>
      <c s="1853" t="s">
        <v>854</v>
      </c>
    </row>
    <row r="648" spans="1:9" ht="11.25" customHeight="1">
      <c r="A648" s="1853" t="s">
        <v>2247</v>
      </c>
      <c s="1853" t="s">
        <v>16</v>
      </c>
      <c s="1853" t="s">
        <v>2609</v>
      </c>
      <c s="1853" t="s">
        <v>2610</v>
      </c>
      <c s="1853" t="s">
        <v>2611</v>
      </c>
      <c s="1853" t="s">
        <v>2395</v>
      </c>
      <c s="1853" t="s">
        <v>2612</v>
      </c>
      <c s="1853" t="s">
        <v>22</v>
      </c>
      <c s="1853" t="s">
        <v>854</v>
      </c>
    </row>
    <row r="649" spans="1:9" ht="11.25" customHeight="1">
      <c r="A649" s="1853" t="s">
        <v>2247</v>
      </c>
      <c s="1853" t="s">
        <v>16</v>
      </c>
      <c s="1853" t="s">
        <v>3972</v>
      </c>
      <c s="1853" t="s">
        <v>3973</v>
      </c>
      <c s="1853" t="s">
        <v>3974</v>
      </c>
      <c s="1853" t="s">
        <v>2632</v>
      </c>
      <c s="1853" t="s">
        <v>3975</v>
      </c>
      <c s="1853" t="s">
        <v>22</v>
      </c>
      <c s="1853" t="s">
        <v>854</v>
      </c>
    </row>
    <row r="650" spans="1:9" ht="11.25" customHeight="1">
      <c r="A650" s="1853" t="s">
        <v>2247</v>
      </c>
      <c s="1853" t="s">
        <v>16</v>
      </c>
      <c s="1853" t="s">
        <v>2613</v>
      </c>
      <c s="1853" t="s">
        <v>2614</v>
      </c>
      <c s="1853" t="s">
        <v>2615</v>
      </c>
      <c s="1853" t="s">
        <v>2551</v>
      </c>
      <c s="1853" t="s">
        <v>2616</v>
      </c>
      <c s="1853" t="s">
        <v>22</v>
      </c>
      <c s="1853" t="s">
        <v>854</v>
      </c>
    </row>
    <row r="651" spans="1:9" ht="11.25" customHeight="1">
      <c r="A651" s="1853" t="s">
        <v>2247</v>
      </c>
      <c s="1853" t="s">
        <v>16</v>
      </c>
      <c s="1853" t="s">
        <v>3976</v>
      </c>
      <c s="1853" t="s">
        <v>3977</v>
      </c>
      <c s="1853" t="s">
        <v>3978</v>
      </c>
      <c s="1853" t="s">
        <v>2507</v>
      </c>
      <c s="1853" t="s">
        <v>3979</v>
      </c>
      <c s="1853" t="s">
        <v>22</v>
      </c>
      <c s="1853" t="s">
        <v>854</v>
      </c>
    </row>
    <row r="652" spans="1:9" ht="11.25" customHeight="1">
      <c r="A652" s="1853" t="s">
        <v>2247</v>
      </c>
      <c s="1853" t="s">
        <v>16</v>
      </c>
      <c s="1853" t="s">
        <v>2617</v>
      </c>
      <c s="1853" t="s">
        <v>2618</v>
      </c>
      <c s="1853" t="s">
        <v>2619</v>
      </c>
      <c s="1853" t="s">
        <v>2620</v>
      </c>
      <c s="1853" t="s">
        <v>2621</v>
      </c>
      <c s="1853" t="s">
        <v>22</v>
      </c>
      <c s="1853" t="s">
        <v>854</v>
      </c>
    </row>
    <row r="653" spans="1:9" ht="11.25" customHeight="1">
      <c r="A653" s="1853" t="s">
        <v>2247</v>
      </c>
      <c s="1853" t="s">
        <v>16</v>
      </c>
      <c s="1853" t="s">
        <v>3980</v>
      </c>
      <c s="1853" t="s">
        <v>3981</v>
      </c>
      <c s="1853" t="s">
        <v>3982</v>
      </c>
      <c s="1853" t="s">
        <v>2395</v>
      </c>
      <c s="1853" t="s">
        <v>3983</v>
      </c>
      <c s="1853" t="s">
        <v>22</v>
      </c>
      <c s="1853" t="s">
        <v>854</v>
      </c>
    </row>
    <row r="654" spans="1:9" ht="11.25" customHeight="1">
      <c r="A654" s="1853" t="s">
        <v>2247</v>
      </c>
      <c s="1853" t="s">
        <v>16</v>
      </c>
      <c s="1853" t="s">
        <v>3984</v>
      </c>
      <c s="1853" t="s">
        <v>3985</v>
      </c>
      <c s="1853" t="s">
        <v>3986</v>
      </c>
      <c s="1853" t="s">
        <v>2386</v>
      </c>
      <c s="1853" t="s">
        <v>22</v>
      </c>
      <c s="1853" t="s">
        <v>22</v>
      </c>
      <c s="1853" t="s">
        <v>854</v>
      </c>
    </row>
    <row r="655" spans="1:9" ht="11.25" customHeight="1">
      <c r="A655" s="1853" t="s">
        <v>2247</v>
      </c>
      <c s="1853" t="s">
        <v>16</v>
      </c>
      <c s="1853" t="s">
        <v>3987</v>
      </c>
      <c s="1853" t="s">
        <v>3988</v>
      </c>
      <c s="1853" t="s">
        <v>3989</v>
      </c>
      <c s="1853" t="s">
        <v>2386</v>
      </c>
      <c s="1853" t="s">
        <v>22</v>
      </c>
      <c s="1853" t="s">
        <v>22</v>
      </c>
      <c s="1853" t="s">
        <v>854</v>
      </c>
    </row>
    <row r="656" spans="1:9" ht="11.25" customHeight="1">
      <c r="A656" s="1853" t="s">
        <v>2247</v>
      </c>
      <c s="1853" t="s">
        <v>16</v>
      </c>
      <c s="1853" t="s">
        <v>3990</v>
      </c>
      <c s="1853" t="s">
        <v>3991</v>
      </c>
      <c s="1853" t="s">
        <v>3992</v>
      </c>
      <c s="1853" t="s">
        <v>2386</v>
      </c>
      <c s="1853" t="s">
        <v>22</v>
      </c>
      <c s="1853" t="s">
        <v>22</v>
      </c>
      <c s="1853" t="s">
        <v>854</v>
      </c>
    </row>
    <row r="657" spans="1:9" ht="11.25" customHeight="1">
      <c r="A657" s="1853" t="s">
        <v>2247</v>
      </c>
      <c s="1853" t="s">
        <v>16</v>
      </c>
      <c s="1853" t="s">
        <v>3993</v>
      </c>
      <c s="1853" t="s">
        <v>3994</v>
      </c>
      <c s="1853" t="s">
        <v>3995</v>
      </c>
      <c s="1853" t="s">
        <v>2386</v>
      </c>
      <c s="1853" t="s">
        <v>22</v>
      </c>
      <c s="1853" t="s">
        <v>22</v>
      </c>
      <c s="1853" t="s">
        <v>854</v>
      </c>
    </row>
    <row r="658" spans="1:9" ht="11.25" customHeight="1">
      <c r="A658" s="1853" t="s">
        <v>2247</v>
      </c>
      <c s="1853" t="s">
        <v>16</v>
      </c>
      <c s="1853" t="s">
        <v>3996</v>
      </c>
      <c s="1853" t="s">
        <v>3997</v>
      </c>
      <c s="1853" t="s">
        <v>3998</v>
      </c>
      <c s="1853" t="s">
        <v>3615</v>
      </c>
      <c s="1853" t="s">
        <v>3999</v>
      </c>
      <c s="1853" t="s">
        <v>22</v>
      </c>
      <c s="1853" t="s">
        <v>854</v>
      </c>
    </row>
    <row r="659" spans="1:9" ht="11.25" customHeight="1">
      <c r="A659" s="1853" t="s">
        <v>2247</v>
      </c>
      <c s="1853" t="s">
        <v>16</v>
      </c>
      <c s="1853" t="s">
        <v>4000</v>
      </c>
      <c s="1853" t="s">
        <v>4001</v>
      </c>
      <c s="1853" t="s">
        <v>4002</v>
      </c>
      <c s="1853" t="s">
        <v>2639</v>
      </c>
      <c s="1853" t="s">
        <v>4003</v>
      </c>
      <c s="1853" t="s">
        <v>22</v>
      </c>
      <c s="1853" t="s">
        <v>854</v>
      </c>
    </row>
    <row r="660" spans="1:9" ht="11.25" customHeight="1">
      <c r="A660" s="1853" t="s">
        <v>2247</v>
      </c>
      <c s="1853" t="s">
        <v>16</v>
      </c>
      <c s="1853" t="s">
        <v>4004</v>
      </c>
      <c s="1853" t="s">
        <v>4005</v>
      </c>
      <c s="1853" t="s">
        <v>4006</v>
      </c>
      <c s="1853" t="s">
        <v>2454</v>
      </c>
      <c s="1853" t="s">
        <v>4007</v>
      </c>
      <c s="1853" t="s">
        <v>22</v>
      </c>
      <c s="1853" t="s">
        <v>854</v>
      </c>
    </row>
    <row r="661" spans="1:9" ht="11.25" customHeight="1">
      <c r="A661" s="1853" t="s">
        <v>2247</v>
      </c>
      <c s="1853" t="s">
        <v>16</v>
      </c>
      <c s="1853" t="s">
        <v>4008</v>
      </c>
      <c s="1853" t="s">
        <v>2623</v>
      </c>
      <c s="1853" t="s">
        <v>4009</v>
      </c>
      <c s="1853" t="s">
        <v>2454</v>
      </c>
      <c s="1853" t="s">
        <v>4010</v>
      </c>
      <c s="1853" t="s">
        <v>22</v>
      </c>
      <c s="1853" t="s">
        <v>854</v>
      </c>
    </row>
    <row r="662" spans="1:9" ht="11.25" customHeight="1">
      <c r="A662" s="1853" t="s">
        <v>2247</v>
      </c>
      <c s="1853" t="s">
        <v>16</v>
      </c>
      <c s="1853" t="s">
        <v>2626</v>
      </c>
      <c s="1853" t="s">
        <v>2627</v>
      </c>
      <c s="1853" t="s">
        <v>2628</v>
      </c>
      <c s="1853" t="s">
        <v>2579</v>
      </c>
      <c s="1853" t="s">
        <v>22</v>
      </c>
      <c s="1853" t="s">
        <v>22</v>
      </c>
      <c s="1853" t="s">
        <v>854</v>
      </c>
    </row>
    <row r="663" spans="1:9" ht="11.25" customHeight="1">
      <c r="A663" s="1853" t="s">
        <v>2247</v>
      </c>
      <c s="1853" t="s">
        <v>16</v>
      </c>
      <c s="1853" t="s">
        <v>4011</v>
      </c>
      <c s="1853" t="s">
        <v>4012</v>
      </c>
      <c s="1853" t="s">
        <v>4013</v>
      </c>
      <c s="1853" t="s">
        <v>2639</v>
      </c>
      <c s="1853" t="s">
        <v>4003</v>
      </c>
      <c s="1853" t="s">
        <v>22</v>
      </c>
      <c s="1853" t="s">
        <v>854</v>
      </c>
    </row>
    <row r="664" spans="1:9" ht="11.25" customHeight="1">
      <c r="A664" s="1853" t="s">
        <v>2247</v>
      </c>
      <c s="1853" t="s">
        <v>16</v>
      </c>
      <c s="1853" t="s">
        <v>4014</v>
      </c>
      <c s="1853" t="s">
        <v>4015</v>
      </c>
      <c s="1853" t="s">
        <v>4016</v>
      </c>
      <c s="1853" t="s">
        <v>2403</v>
      </c>
      <c s="1853" t="s">
        <v>4017</v>
      </c>
      <c s="1853" t="s">
        <v>22</v>
      </c>
      <c s="1853" t="s">
        <v>854</v>
      </c>
    </row>
    <row r="665" spans="1:9" ht="11.25" customHeight="1">
      <c r="A665" s="1853" t="s">
        <v>2247</v>
      </c>
      <c s="1853" t="s">
        <v>16</v>
      </c>
      <c s="1853" t="s">
        <v>4018</v>
      </c>
      <c s="1853" t="s">
        <v>4019</v>
      </c>
      <c s="1853" t="s">
        <v>4020</v>
      </c>
      <c s="1853" t="s">
        <v>3187</v>
      </c>
      <c s="1853" t="s">
        <v>22</v>
      </c>
      <c s="1853" t="s">
        <v>22</v>
      </c>
      <c s="1853" t="s">
        <v>854</v>
      </c>
    </row>
    <row r="666" spans="1:9" ht="11.25" customHeight="1">
      <c r="A666" s="1853" t="s">
        <v>2247</v>
      </c>
      <c s="1853" t="s">
        <v>16</v>
      </c>
      <c s="1853" t="s">
        <v>4021</v>
      </c>
      <c s="1853" t="s">
        <v>4022</v>
      </c>
      <c s="1853" t="s">
        <v>4023</v>
      </c>
      <c s="1853" t="s">
        <v>2659</v>
      </c>
      <c s="1853" t="s">
        <v>4024</v>
      </c>
      <c s="1853" t="s">
        <v>22</v>
      </c>
      <c s="1853" t="s">
        <v>854</v>
      </c>
    </row>
    <row r="667" spans="1:9" ht="11.25" customHeight="1">
      <c r="A667" s="1853" t="s">
        <v>2247</v>
      </c>
      <c s="1853" t="s">
        <v>16</v>
      </c>
      <c s="1853" t="s">
        <v>4025</v>
      </c>
      <c s="1853" t="s">
        <v>4026</v>
      </c>
      <c s="1853" t="s">
        <v>4027</v>
      </c>
      <c s="1853" t="s">
        <v>2588</v>
      </c>
      <c s="1853" t="s">
        <v>4028</v>
      </c>
      <c s="1853" t="s">
        <v>22</v>
      </c>
      <c s="1853" t="s">
        <v>854</v>
      </c>
    </row>
    <row r="668" spans="1:9" ht="11.25" customHeight="1">
      <c r="A668" s="1853" t="s">
        <v>2247</v>
      </c>
      <c s="1853" t="s">
        <v>16</v>
      </c>
      <c s="1853" t="s">
        <v>4029</v>
      </c>
      <c s="1853" t="s">
        <v>4030</v>
      </c>
      <c s="1853" t="s">
        <v>4031</v>
      </c>
      <c s="1853" t="s">
        <v>2551</v>
      </c>
      <c s="1853" t="s">
        <v>4032</v>
      </c>
      <c s="1853" t="s">
        <v>22</v>
      </c>
      <c s="1853" t="s">
        <v>854</v>
      </c>
    </row>
    <row r="669" spans="1:9" ht="11.25" customHeight="1">
      <c r="A669" s="1853" t="s">
        <v>2247</v>
      </c>
      <c s="1853" t="s">
        <v>16</v>
      </c>
      <c s="1853" t="s">
        <v>4033</v>
      </c>
      <c s="1853" t="s">
        <v>4034</v>
      </c>
      <c s="1853" t="s">
        <v>4035</v>
      </c>
      <c s="1853" t="s">
        <v>2588</v>
      </c>
      <c s="1853" t="s">
        <v>4036</v>
      </c>
      <c s="1853" t="s">
        <v>22</v>
      </c>
      <c s="1853" t="s">
        <v>854</v>
      </c>
    </row>
    <row r="670" spans="1:9" ht="11.25" customHeight="1">
      <c r="A670" s="1853" t="s">
        <v>2247</v>
      </c>
      <c s="1853" t="s">
        <v>16</v>
      </c>
      <c s="1853" t="s">
        <v>4037</v>
      </c>
      <c s="1853" t="s">
        <v>4038</v>
      </c>
      <c s="1853" t="s">
        <v>4039</v>
      </c>
      <c s="1853" t="s">
        <v>2639</v>
      </c>
      <c s="1853" t="s">
        <v>4040</v>
      </c>
      <c s="1853" t="s">
        <v>22</v>
      </c>
      <c s="1853" t="s">
        <v>854</v>
      </c>
    </row>
    <row r="671" spans="1:9" ht="11.25" customHeight="1">
      <c r="A671" s="1853" t="s">
        <v>2247</v>
      </c>
      <c s="1853" t="s">
        <v>16</v>
      </c>
      <c s="1853" t="s">
        <v>2636</v>
      </c>
      <c s="1853" t="s">
        <v>2637</v>
      </c>
      <c s="1853" t="s">
        <v>2638</v>
      </c>
      <c s="1853" t="s">
        <v>2639</v>
      </c>
      <c s="1853" t="s">
        <v>2640</v>
      </c>
      <c s="1853" t="s">
        <v>22</v>
      </c>
      <c s="1853" t="s">
        <v>854</v>
      </c>
    </row>
    <row r="672" spans="1:9" ht="11.25" customHeight="1">
      <c r="A672" s="1853" t="s">
        <v>2247</v>
      </c>
      <c s="1853" t="s">
        <v>16</v>
      </c>
      <c s="1853" t="s">
        <v>4041</v>
      </c>
      <c s="1853" t="s">
        <v>4042</v>
      </c>
      <c s="1853" t="s">
        <v>4043</v>
      </c>
      <c s="1853" t="s">
        <v>2499</v>
      </c>
      <c s="1853" t="s">
        <v>22</v>
      </c>
      <c s="1853" t="s">
        <v>22</v>
      </c>
      <c s="1853" t="s">
        <v>854</v>
      </c>
    </row>
    <row r="673" spans="1:9" ht="11.25" customHeight="1">
      <c r="A673" s="1853" t="s">
        <v>2247</v>
      </c>
      <c s="1853" t="s">
        <v>16</v>
      </c>
      <c s="1853" t="s">
        <v>4044</v>
      </c>
      <c s="1853" t="s">
        <v>4045</v>
      </c>
      <c s="1853" t="s">
        <v>4046</v>
      </c>
      <c s="1853" t="s">
        <v>2395</v>
      </c>
      <c s="1853" t="s">
        <v>22</v>
      </c>
      <c s="1853" t="s">
        <v>22</v>
      </c>
      <c s="1853" t="s">
        <v>854</v>
      </c>
    </row>
    <row r="674" spans="1:9" ht="11.25" customHeight="1">
      <c r="A674" s="1853" t="s">
        <v>2247</v>
      </c>
      <c s="1853" t="s">
        <v>16</v>
      </c>
      <c s="1853" t="s">
        <v>4047</v>
      </c>
      <c s="1853" t="s">
        <v>4048</v>
      </c>
      <c s="1853" t="s">
        <v>4049</v>
      </c>
      <c s="1853" t="s">
        <v>2395</v>
      </c>
      <c s="1853" t="s">
        <v>3555</v>
      </c>
      <c s="1853" t="s">
        <v>4050</v>
      </c>
      <c s="1853" t="s">
        <v>854</v>
      </c>
    </row>
    <row r="675" spans="1:9" ht="11.25" customHeight="1">
      <c r="A675" s="1853" t="s">
        <v>2247</v>
      </c>
      <c s="1853" t="s">
        <v>16</v>
      </c>
      <c s="1853" t="s">
        <v>4051</v>
      </c>
      <c s="1853" t="s">
        <v>4052</v>
      </c>
      <c s="1853" t="s">
        <v>4053</v>
      </c>
      <c s="1853" t="s">
        <v>2499</v>
      </c>
      <c s="1853" t="s">
        <v>4054</v>
      </c>
      <c s="1853" t="s">
        <v>22</v>
      </c>
      <c s="1853" t="s">
        <v>854</v>
      </c>
    </row>
    <row r="676" spans="1:9" ht="11.25" customHeight="1">
      <c r="A676" s="1853" t="s">
        <v>2247</v>
      </c>
      <c s="1853" t="s">
        <v>16</v>
      </c>
      <c s="1853" t="s">
        <v>4055</v>
      </c>
      <c s="1853" t="s">
        <v>4056</v>
      </c>
      <c s="1853" t="s">
        <v>4057</v>
      </c>
      <c s="1853" t="s">
        <v>2464</v>
      </c>
      <c s="1853" t="s">
        <v>4058</v>
      </c>
      <c s="1853" t="s">
        <v>22</v>
      </c>
      <c s="1853" t="s">
        <v>854</v>
      </c>
    </row>
    <row r="677" spans="1:9" ht="11.25" customHeight="1">
      <c r="A677" s="1853" t="s">
        <v>2247</v>
      </c>
      <c s="1853" t="s">
        <v>16</v>
      </c>
      <c s="1853" t="s">
        <v>4059</v>
      </c>
      <c s="1853" t="s">
        <v>4060</v>
      </c>
      <c s="1853" t="s">
        <v>4061</v>
      </c>
      <c s="1853" t="s">
        <v>2403</v>
      </c>
      <c s="1853" t="s">
        <v>22</v>
      </c>
      <c s="1853" t="s">
        <v>22</v>
      </c>
      <c s="1853" t="s">
        <v>854</v>
      </c>
    </row>
    <row r="678" spans="1:9" ht="11.25" customHeight="1">
      <c r="A678" s="1853" t="s">
        <v>2247</v>
      </c>
      <c s="1853" t="s">
        <v>16</v>
      </c>
      <c s="1853" t="s">
        <v>4062</v>
      </c>
      <c s="1853" t="s">
        <v>4063</v>
      </c>
      <c s="1853" t="s">
        <v>4064</v>
      </c>
      <c s="1853" t="s">
        <v>2604</v>
      </c>
      <c s="1853" t="s">
        <v>4065</v>
      </c>
      <c s="1853" t="s">
        <v>22</v>
      </c>
      <c s="1853" t="s">
        <v>854</v>
      </c>
    </row>
    <row r="679" spans="1:9" ht="11.25" customHeight="1">
      <c r="A679" s="1853" t="s">
        <v>2247</v>
      </c>
      <c s="1853" t="s">
        <v>16</v>
      </c>
      <c s="1853" t="s">
        <v>4066</v>
      </c>
      <c s="1853" t="s">
        <v>4067</v>
      </c>
      <c s="1853" t="s">
        <v>4068</v>
      </c>
      <c s="1853" t="s">
        <v>2551</v>
      </c>
      <c s="1853" t="s">
        <v>4069</v>
      </c>
      <c s="1853" t="s">
        <v>3967</v>
      </c>
      <c s="1853" t="s">
        <v>854</v>
      </c>
    </row>
    <row r="680" spans="1:9" ht="11.25" customHeight="1">
      <c r="A680" s="1853" t="s">
        <v>2247</v>
      </c>
      <c s="1853" t="s">
        <v>16</v>
      </c>
      <c s="1853" t="s">
        <v>4070</v>
      </c>
      <c s="1853" t="s">
        <v>4071</v>
      </c>
      <c s="1853" t="s">
        <v>4072</v>
      </c>
      <c s="1853" t="s">
        <v>2512</v>
      </c>
      <c s="1853" t="s">
        <v>4073</v>
      </c>
      <c s="1853" t="s">
        <v>3967</v>
      </c>
      <c s="1853" t="s">
        <v>854</v>
      </c>
    </row>
    <row r="681" spans="1:9" ht="11.25" customHeight="1">
      <c r="A681" s="1853" t="s">
        <v>2247</v>
      </c>
      <c s="1853" t="s">
        <v>16</v>
      </c>
      <c s="1853" t="s">
        <v>4074</v>
      </c>
      <c s="1853" t="s">
        <v>4075</v>
      </c>
      <c s="1853" t="s">
        <v>4076</v>
      </c>
      <c s="1853" t="s">
        <v>2551</v>
      </c>
      <c s="1853" t="s">
        <v>4077</v>
      </c>
      <c s="1853" t="s">
        <v>3967</v>
      </c>
      <c s="1853" t="s">
        <v>854</v>
      </c>
    </row>
    <row r="682" spans="1:9" ht="11.25" customHeight="1">
      <c r="A682" s="1853" t="s">
        <v>2247</v>
      </c>
      <c s="1853" t="s">
        <v>16</v>
      </c>
      <c s="1853" t="s">
        <v>4078</v>
      </c>
      <c s="1853" t="s">
        <v>4079</v>
      </c>
      <c s="1853" t="s">
        <v>4080</v>
      </c>
      <c s="1853" t="s">
        <v>2512</v>
      </c>
      <c s="1853" t="s">
        <v>4081</v>
      </c>
      <c s="1853" t="s">
        <v>3967</v>
      </c>
      <c s="1853" t="s">
        <v>854</v>
      </c>
    </row>
    <row r="683" spans="1:9" ht="11.25" customHeight="1">
      <c r="A683" s="1853" t="s">
        <v>2247</v>
      </c>
      <c s="1853" t="s">
        <v>16</v>
      </c>
      <c s="1853" t="s">
        <v>4082</v>
      </c>
      <c s="1853" t="s">
        <v>4083</v>
      </c>
      <c s="1853" t="s">
        <v>4084</v>
      </c>
      <c s="1853" t="s">
        <v>2512</v>
      </c>
      <c s="1853" t="s">
        <v>4085</v>
      </c>
      <c s="1853" t="s">
        <v>3967</v>
      </c>
      <c s="1853" t="s">
        <v>854</v>
      </c>
    </row>
    <row r="684" spans="1:9" ht="11.25" customHeight="1">
      <c r="A684" s="1853" t="s">
        <v>2247</v>
      </c>
      <c s="1853" t="s">
        <v>16</v>
      </c>
      <c s="1853" t="s">
        <v>4086</v>
      </c>
      <c s="1853" t="s">
        <v>4087</v>
      </c>
      <c s="1853" t="s">
        <v>4088</v>
      </c>
      <c s="1853" t="s">
        <v>2620</v>
      </c>
      <c s="1853" t="s">
        <v>2640</v>
      </c>
      <c s="1853" t="s">
        <v>22</v>
      </c>
      <c s="1853" t="s">
        <v>854</v>
      </c>
    </row>
    <row r="685" spans="1:9" ht="11.25" customHeight="1">
      <c r="A685" s="1853" t="s">
        <v>2247</v>
      </c>
      <c s="1853" t="s">
        <v>16</v>
      </c>
      <c s="1853" t="s">
        <v>4089</v>
      </c>
      <c s="1853" t="s">
        <v>4090</v>
      </c>
      <c s="1853" t="s">
        <v>4091</v>
      </c>
      <c s="1853" t="s">
        <v>2551</v>
      </c>
      <c s="1853" t="s">
        <v>4092</v>
      </c>
      <c s="1853" t="s">
        <v>22</v>
      </c>
      <c s="1853" t="s">
        <v>854</v>
      </c>
    </row>
    <row r="686" spans="1:9" ht="11.25" customHeight="1">
      <c r="A686" s="1853" t="s">
        <v>2247</v>
      </c>
      <c s="1853" t="s">
        <v>16</v>
      </c>
      <c s="1853" t="s">
        <v>4093</v>
      </c>
      <c s="1853" t="s">
        <v>4094</v>
      </c>
      <c s="1853" t="s">
        <v>4095</v>
      </c>
      <c s="1853" t="s">
        <v>3234</v>
      </c>
      <c s="1853" t="s">
        <v>3848</v>
      </c>
      <c s="1853" t="s">
        <v>22</v>
      </c>
      <c s="1853" t="s">
        <v>854</v>
      </c>
    </row>
    <row r="687" spans="1:9" ht="11.25" customHeight="1">
      <c r="A687" s="1853" t="s">
        <v>2247</v>
      </c>
      <c s="1853" t="s">
        <v>16</v>
      </c>
      <c s="1853" t="s">
        <v>4096</v>
      </c>
      <c s="1853" t="s">
        <v>4097</v>
      </c>
      <c s="1853" t="s">
        <v>4098</v>
      </c>
      <c s="1853" t="s">
        <v>2588</v>
      </c>
      <c s="1853" t="s">
        <v>4099</v>
      </c>
      <c s="1853" t="s">
        <v>22</v>
      </c>
      <c s="1853" t="s">
        <v>854</v>
      </c>
    </row>
    <row r="688" spans="1:9" ht="11.25" customHeight="1">
      <c r="A688" s="1853" t="s">
        <v>2247</v>
      </c>
      <c s="1853" t="s">
        <v>16</v>
      </c>
      <c s="1853" t="s">
        <v>4100</v>
      </c>
      <c s="1853" t="s">
        <v>4101</v>
      </c>
      <c s="1853" t="s">
        <v>4102</v>
      </c>
      <c s="1853" t="s">
        <v>2395</v>
      </c>
      <c s="1853" t="s">
        <v>4103</v>
      </c>
      <c s="1853" t="s">
        <v>22</v>
      </c>
      <c s="1853" t="s">
        <v>854</v>
      </c>
    </row>
    <row r="689" spans="1:9" ht="11.25" customHeight="1">
      <c r="A689" s="1853" t="s">
        <v>2247</v>
      </c>
      <c s="1853" t="s">
        <v>16</v>
      </c>
      <c s="1853" t="s">
        <v>2641</v>
      </c>
      <c s="1853" t="s">
        <v>2642</v>
      </c>
      <c s="1853" t="s">
        <v>2643</v>
      </c>
      <c s="1853" t="s">
        <v>2403</v>
      </c>
      <c s="1853" t="s">
        <v>2644</v>
      </c>
      <c s="1853" t="s">
        <v>22</v>
      </c>
      <c s="1853" t="s">
        <v>854</v>
      </c>
    </row>
    <row r="690" spans="1:9" ht="11.25" customHeight="1">
      <c r="A690" s="1853" t="s">
        <v>2247</v>
      </c>
      <c s="1853" t="s">
        <v>16</v>
      </c>
      <c s="1853" t="s">
        <v>4104</v>
      </c>
      <c s="1853" t="s">
        <v>4105</v>
      </c>
      <c s="1853" t="s">
        <v>4106</v>
      </c>
      <c s="1853" t="s">
        <v>2568</v>
      </c>
      <c s="1853" t="s">
        <v>22</v>
      </c>
      <c s="1853" t="s">
        <v>22</v>
      </c>
      <c s="1853" t="s">
        <v>854</v>
      </c>
    </row>
    <row r="691" spans="1:9" ht="11.25" customHeight="1">
      <c r="A691" s="1853" t="s">
        <v>2247</v>
      </c>
      <c s="1853" t="s">
        <v>16</v>
      </c>
      <c s="1853" t="s">
        <v>2645</v>
      </c>
      <c s="1853" t="s">
        <v>2646</v>
      </c>
      <c s="1853" t="s">
        <v>2647</v>
      </c>
      <c s="1853" t="s">
        <v>2568</v>
      </c>
      <c s="1853" t="s">
        <v>22</v>
      </c>
      <c s="1853" t="s">
        <v>22</v>
      </c>
      <c s="1853" t="s">
        <v>854</v>
      </c>
    </row>
    <row r="692" spans="1:9" ht="11.25" customHeight="1">
      <c r="A692" s="1853" t="s">
        <v>2247</v>
      </c>
      <c s="1853" t="s">
        <v>16</v>
      </c>
      <c s="1853" t="s">
        <v>4107</v>
      </c>
      <c s="1853" t="s">
        <v>4108</v>
      </c>
      <c s="1853" t="s">
        <v>4109</v>
      </c>
      <c s="1853" t="s">
        <v>3234</v>
      </c>
      <c s="1853" t="s">
        <v>4110</v>
      </c>
      <c s="1853" t="s">
        <v>22</v>
      </c>
      <c s="1853" t="s">
        <v>854</v>
      </c>
    </row>
    <row r="693" spans="1:9" ht="11.25" customHeight="1">
      <c r="A693" s="1853" t="s">
        <v>2247</v>
      </c>
      <c s="1853" t="s">
        <v>16</v>
      </c>
      <c s="1853" t="s">
        <v>4111</v>
      </c>
      <c s="1853" t="s">
        <v>4112</v>
      </c>
      <c s="1853" t="s">
        <v>4113</v>
      </c>
      <c s="1853" t="s">
        <v>2499</v>
      </c>
      <c s="1853" t="s">
        <v>4114</v>
      </c>
      <c s="1853" t="s">
        <v>22</v>
      </c>
      <c s="1853" t="s">
        <v>854</v>
      </c>
    </row>
    <row r="694" spans="1:9" ht="11.25" customHeight="1">
      <c r="A694" s="1853" t="s">
        <v>2247</v>
      </c>
      <c s="1853" t="s">
        <v>16</v>
      </c>
      <c s="1853" t="s">
        <v>4115</v>
      </c>
      <c s="1853" t="s">
        <v>4116</v>
      </c>
      <c s="1853" t="s">
        <v>4117</v>
      </c>
      <c s="1853" t="s">
        <v>3615</v>
      </c>
      <c s="1853" t="s">
        <v>4118</v>
      </c>
      <c s="1853" t="s">
        <v>22</v>
      </c>
      <c s="1853" t="s">
        <v>854</v>
      </c>
    </row>
    <row r="695" spans="1:9" ht="11.25" customHeight="1">
      <c r="A695" s="1853" t="s">
        <v>2247</v>
      </c>
      <c s="1853" t="s">
        <v>16</v>
      </c>
      <c s="1853" t="s">
        <v>2656</v>
      </c>
      <c s="1853" t="s">
        <v>2657</v>
      </c>
      <c s="1853" t="s">
        <v>2658</v>
      </c>
      <c s="1853" t="s">
        <v>2659</v>
      </c>
      <c s="1853" t="s">
        <v>2660</v>
      </c>
      <c s="1853" t="s">
        <v>22</v>
      </c>
      <c s="1853" t="s">
        <v>854</v>
      </c>
    </row>
    <row r="696" spans="1:9" ht="11.25" customHeight="1">
      <c r="A696" s="1853" t="s">
        <v>2247</v>
      </c>
      <c s="1853" t="s">
        <v>16</v>
      </c>
      <c s="1853" t="s">
        <v>4119</v>
      </c>
      <c s="1853" t="s">
        <v>4120</v>
      </c>
      <c s="1853" t="s">
        <v>4121</v>
      </c>
      <c s="1853" t="s">
        <v>2588</v>
      </c>
      <c s="1853" t="s">
        <v>4122</v>
      </c>
      <c s="1853" t="s">
        <v>22</v>
      </c>
      <c s="1853" t="s">
        <v>854</v>
      </c>
    </row>
    <row r="697" spans="1:9" ht="11.25" customHeight="1">
      <c r="A697" s="1853" t="s">
        <v>2247</v>
      </c>
      <c s="1853" t="s">
        <v>16</v>
      </c>
      <c s="1853" t="s">
        <v>4123</v>
      </c>
      <c s="1853" t="s">
        <v>4124</v>
      </c>
      <c s="1853" t="s">
        <v>4125</v>
      </c>
      <c s="1853" t="s">
        <v>2382</v>
      </c>
      <c s="1853" t="s">
        <v>4126</v>
      </c>
      <c s="1853" t="s">
        <v>22</v>
      </c>
      <c s="1853" t="s">
        <v>854</v>
      </c>
    </row>
    <row r="698" spans="1:9" ht="11.25" customHeight="1">
      <c r="A698" s="1853" t="s">
        <v>2247</v>
      </c>
      <c s="1853" t="s">
        <v>16</v>
      </c>
      <c s="1853" t="s">
        <v>4127</v>
      </c>
      <c s="1853" t="s">
        <v>4128</v>
      </c>
      <c s="1853" t="s">
        <v>4129</v>
      </c>
      <c s="1853" t="s">
        <v>2403</v>
      </c>
      <c s="1853" t="s">
        <v>4130</v>
      </c>
      <c s="1853" t="s">
        <v>22</v>
      </c>
      <c s="1853" t="s">
        <v>854</v>
      </c>
    </row>
    <row r="699" spans="1:9" ht="11.25" customHeight="1">
      <c r="A699" s="1853" t="s">
        <v>2247</v>
      </c>
      <c s="1853" t="s">
        <v>16</v>
      </c>
      <c s="1853" t="s">
        <v>4131</v>
      </c>
      <c s="1853" t="s">
        <v>4132</v>
      </c>
      <c s="1853" t="s">
        <v>4133</v>
      </c>
      <c s="1853" t="s">
        <v>3234</v>
      </c>
      <c s="1853" t="s">
        <v>4134</v>
      </c>
      <c s="1853" t="s">
        <v>22</v>
      </c>
      <c s="1853" t="s">
        <v>854</v>
      </c>
    </row>
    <row r="700" spans="1:9" ht="11.25" customHeight="1">
      <c r="A700" s="1853" t="s">
        <v>2247</v>
      </c>
      <c s="1853" t="s">
        <v>16</v>
      </c>
      <c s="1853" t="s">
        <v>4135</v>
      </c>
      <c s="1853" t="s">
        <v>4136</v>
      </c>
      <c s="1853" t="s">
        <v>4137</v>
      </c>
      <c s="1853" t="s">
        <v>2596</v>
      </c>
      <c s="1853" t="s">
        <v>4138</v>
      </c>
      <c s="1853" t="s">
        <v>22</v>
      </c>
      <c s="1853" t="s">
        <v>854</v>
      </c>
    </row>
    <row r="701" spans="1:9" ht="11.25" customHeight="1">
      <c r="A701" s="1853" t="s">
        <v>2247</v>
      </c>
      <c s="1853" t="s">
        <v>16</v>
      </c>
      <c s="1853" t="s">
        <v>4139</v>
      </c>
      <c s="1853" t="s">
        <v>4140</v>
      </c>
      <c s="1853" t="s">
        <v>4141</v>
      </c>
      <c s="1853" t="s">
        <v>2675</v>
      </c>
      <c s="1853" t="s">
        <v>4142</v>
      </c>
      <c s="1853" t="s">
        <v>22</v>
      </c>
      <c s="1853" t="s">
        <v>854</v>
      </c>
    </row>
    <row r="702" spans="1:9" ht="11.25" customHeight="1">
      <c r="A702" s="1853" t="s">
        <v>2247</v>
      </c>
      <c s="1853" t="s">
        <v>16</v>
      </c>
      <c s="1853" t="s">
        <v>4143</v>
      </c>
      <c s="1853" t="s">
        <v>4144</v>
      </c>
      <c s="1853" t="s">
        <v>4145</v>
      </c>
      <c s="1853" t="s">
        <v>2596</v>
      </c>
      <c s="1853" t="s">
        <v>4146</v>
      </c>
      <c s="1853" t="s">
        <v>22</v>
      </c>
      <c s="1853" t="s">
        <v>854</v>
      </c>
    </row>
    <row r="703" spans="1:9" ht="11.25" customHeight="1">
      <c r="A703" s="1853" t="s">
        <v>2247</v>
      </c>
      <c s="1853" t="s">
        <v>16</v>
      </c>
      <c s="1853" t="s">
        <v>4147</v>
      </c>
      <c s="1853" t="s">
        <v>4148</v>
      </c>
      <c s="1853" t="s">
        <v>4149</v>
      </c>
      <c s="1853" t="s">
        <v>2454</v>
      </c>
      <c s="1853" t="s">
        <v>4150</v>
      </c>
      <c s="1853" t="s">
        <v>22</v>
      </c>
      <c s="1853" t="s">
        <v>854</v>
      </c>
    </row>
    <row r="704" spans="1:9" ht="11.25" customHeight="1">
      <c r="A704" s="1853" t="s">
        <v>2247</v>
      </c>
      <c s="1853" t="s">
        <v>16</v>
      </c>
      <c s="1853" t="s">
        <v>2702</v>
      </c>
      <c s="1853" t="s">
        <v>2703</v>
      </c>
      <c s="1853" t="s">
        <v>2704</v>
      </c>
      <c s="1853" t="s">
        <v>2568</v>
      </c>
      <c s="1853" t="s">
        <v>22</v>
      </c>
      <c s="1853" t="s">
        <v>22</v>
      </c>
      <c s="1853" t="s">
        <v>854</v>
      </c>
    </row>
    <row r="705" spans="1:9" ht="11.25" customHeight="1">
      <c r="A705" s="1853" t="s">
        <v>2247</v>
      </c>
      <c s="1853" t="s">
        <v>16</v>
      </c>
      <c s="1853" t="s">
        <v>4151</v>
      </c>
      <c s="1853" t="s">
        <v>4152</v>
      </c>
      <c s="1853" t="s">
        <v>4153</v>
      </c>
      <c s="1853" t="s">
        <v>2588</v>
      </c>
      <c s="1853" t="s">
        <v>4099</v>
      </c>
      <c s="1853" t="s">
        <v>22</v>
      </c>
      <c s="1853" t="s">
        <v>854</v>
      </c>
    </row>
    <row r="706" spans="1:9" ht="11.25" customHeight="1">
      <c r="A706" s="1853" t="s">
        <v>2247</v>
      </c>
      <c s="1853" t="s">
        <v>16</v>
      </c>
      <c s="1853" t="s">
        <v>4154</v>
      </c>
      <c s="1853" t="s">
        <v>4155</v>
      </c>
      <c s="1853" t="s">
        <v>4156</v>
      </c>
      <c s="1853" t="s">
        <v>2620</v>
      </c>
      <c s="1853" t="s">
        <v>4157</v>
      </c>
      <c s="1853" t="s">
        <v>22</v>
      </c>
      <c s="1853" t="s">
        <v>854</v>
      </c>
    </row>
    <row r="707" spans="1:9" ht="11.25" customHeight="1">
      <c r="A707" s="1853" t="s">
        <v>2247</v>
      </c>
      <c s="1853" t="s">
        <v>16</v>
      </c>
      <c s="1853" t="s">
        <v>4158</v>
      </c>
      <c s="1853" t="s">
        <v>4159</v>
      </c>
      <c s="1853" t="s">
        <v>4160</v>
      </c>
      <c s="1853" t="s">
        <v>2588</v>
      </c>
      <c s="1853" t="s">
        <v>4161</v>
      </c>
      <c s="1853" t="s">
        <v>22</v>
      </c>
      <c s="1853" t="s">
        <v>854</v>
      </c>
    </row>
    <row r="708" spans="1:9" ht="11.25" customHeight="1">
      <c r="A708" s="1853" t="s">
        <v>2247</v>
      </c>
      <c s="1853" t="s">
        <v>16</v>
      </c>
      <c s="1853" t="s">
        <v>4162</v>
      </c>
      <c s="1853" t="s">
        <v>4163</v>
      </c>
      <c s="1853" t="s">
        <v>4164</v>
      </c>
      <c s="1853" t="s">
        <v>2675</v>
      </c>
      <c s="1853" t="s">
        <v>4165</v>
      </c>
      <c s="1853" t="s">
        <v>22</v>
      </c>
      <c s="1853" t="s">
        <v>854</v>
      </c>
    </row>
    <row r="709" spans="1:9" ht="11.25" customHeight="1">
      <c r="A709" s="1853" t="s">
        <v>2247</v>
      </c>
      <c s="1853" t="s">
        <v>16</v>
      </c>
      <c s="1853" t="s">
        <v>4166</v>
      </c>
      <c s="1853" t="s">
        <v>4167</v>
      </c>
      <c s="1853" t="s">
        <v>4168</v>
      </c>
      <c s="1853" t="s">
        <v>51</v>
      </c>
      <c s="1853" t="s">
        <v>4169</v>
      </c>
      <c s="1853" t="s">
        <v>22</v>
      </c>
      <c s="1853" t="s">
        <v>854</v>
      </c>
    </row>
    <row r="710" spans="1:9" ht="11.25" customHeight="1">
      <c r="A710" s="1853" t="s">
        <v>2247</v>
      </c>
      <c s="1853" t="s">
        <v>16</v>
      </c>
      <c s="1853" t="s">
        <v>4170</v>
      </c>
      <c s="1853" t="s">
        <v>4171</v>
      </c>
      <c s="1853" t="s">
        <v>4172</v>
      </c>
      <c s="1853" t="s">
        <v>2382</v>
      </c>
      <c s="1853" t="s">
        <v>4092</v>
      </c>
      <c s="1853" t="s">
        <v>22</v>
      </c>
      <c s="1853" t="s">
        <v>854</v>
      </c>
    </row>
    <row r="711" spans="1:9" ht="11.25" customHeight="1">
      <c r="A711" s="1853" t="s">
        <v>2247</v>
      </c>
      <c s="1853" t="s">
        <v>16</v>
      </c>
      <c s="1853" t="s">
        <v>4173</v>
      </c>
      <c s="1853" t="s">
        <v>4174</v>
      </c>
      <c s="1853" t="s">
        <v>4175</v>
      </c>
      <c s="1853" t="s">
        <v>2588</v>
      </c>
      <c s="1853" t="s">
        <v>4176</v>
      </c>
      <c s="1853" t="s">
        <v>22</v>
      </c>
      <c s="1853" t="s">
        <v>854</v>
      </c>
    </row>
    <row r="712" spans="1:9" ht="11.25" customHeight="1">
      <c r="A712" s="1853" t="s">
        <v>2247</v>
      </c>
      <c s="1853" t="s">
        <v>16</v>
      </c>
      <c s="1853" t="s">
        <v>4177</v>
      </c>
      <c s="1853" t="s">
        <v>4178</v>
      </c>
      <c s="1853" t="s">
        <v>4179</v>
      </c>
      <c s="1853" t="s">
        <v>2675</v>
      </c>
      <c s="1853" t="s">
        <v>4180</v>
      </c>
      <c s="1853" t="s">
        <v>22</v>
      </c>
      <c s="1853" t="s">
        <v>854</v>
      </c>
    </row>
    <row r="713" spans="1:9" ht="11.25" customHeight="1">
      <c r="A713" s="1853" t="s">
        <v>2247</v>
      </c>
      <c s="1853" t="s">
        <v>16</v>
      </c>
      <c s="1853" t="s">
        <v>4181</v>
      </c>
      <c s="1853" t="s">
        <v>4182</v>
      </c>
      <c s="1853" t="s">
        <v>4183</v>
      </c>
      <c s="1853" t="s">
        <v>2632</v>
      </c>
      <c s="1853" t="s">
        <v>4184</v>
      </c>
      <c s="1853" t="s">
        <v>22</v>
      </c>
      <c s="1853" t="s">
        <v>854</v>
      </c>
    </row>
    <row r="714" spans="1:9" ht="11.25" customHeight="1">
      <c r="A714" s="1853" t="s">
        <v>2247</v>
      </c>
      <c s="1853" t="s">
        <v>16</v>
      </c>
      <c s="1853" t="s">
        <v>4185</v>
      </c>
      <c s="1853" t="s">
        <v>4186</v>
      </c>
      <c s="1853" t="s">
        <v>4187</v>
      </c>
      <c s="1853" t="s">
        <v>2251</v>
      </c>
      <c s="1853" t="s">
        <v>4188</v>
      </c>
      <c s="1853" t="s">
        <v>22</v>
      </c>
      <c s="1853" t="s">
        <v>854</v>
      </c>
    </row>
    <row r="715" spans="1:9" ht="11.25" customHeight="1">
      <c r="A715" s="1853" t="s">
        <v>2247</v>
      </c>
      <c s="1853" t="s">
        <v>16</v>
      </c>
      <c s="1853" t="s">
        <v>4189</v>
      </c>
      <c s="1853" t="s">
        <v>4190</v>
      </c>
      <c s="1853" t="s">
        <v>4191</v>
      </c>
      <c s="1853" t="s">
        <v>2982</v>
      </c>
      <c s="1853" t="s">
        <v>4192</v>
      </c>
      <c s="1853" t="s">
        <v>22</v>
      </c>
      <c s="1853" t="s">
        <v>854</v>
      </c>
    </row>
    <row r="716" spans="1:9" ht="11.25" customHeight="1">
      <c r="A716" s="1853" t="s">
        <v>2247</v>
      </c>
      <c s="1853" t="s">
        <v>16</v>
      </c>
      <c s="1853" t="s">
        <v>4193</v>
      </c>
      <c s="1853" t="s">
        <v>4194</v>
      </c>
      <c s="1853" t="s">
        <v>4195</v>
      </c>
      <c s="1853" t="s">
        <v>2382</v>
      </c>
      <c s="1853" t="s">
        <v>4196</v>
      </c>
      <c s="1853" t="s">
        <v>22</v>
      </c>
      <c s="1853" t="s">
        <v>854</v>
      </c>
    </row>
    <row r="717" spans="1:9" ht="11.25" customHeight="1">
      <c r="A717" s="1853" t="s">
        <v>2247</v>
      </c>
      <c s="1853" t="s">
        <v>16</v>
      </c>
      <c s="1853" t="s">
        <v>4197</v>
      </c>
      <c s="1853" t="s">
        <v>4198</v>
      </c>
      <c s="1853" t="s">
        <v>4199</v>
      </c>
      <c s="1853" t="s">
        <v>2675</v>
      </c>
      <c s="1853" t="s">
        <v>4200</v>
      </c>
      <c s="1853" t="s">
        <v>22</v>
      </c>
      <c s="1853" t="s">
        <v>854</v>
      </c>
    </row>
    <row r="718" spans="1:9" ht="11.25" customHeight="1">
      <c r="A718" s="1853" t="s">
        <v>2247</v>
      </c>
      <c s="1853" t="s">
        <v>16</v>
      </c>
      <c s="1853" t="s">
        <v>4201</v>
      </c>
      <c s="1853" t="s">
        <v>4202</v>
      </c>
      <c s="1853" t="s">
        <v>4203</v>
      </c>
      <c s="1853" t="s">
        <v>2588</v>
      </c>
      <c s="1853" t="s">
        <v>4204</v>
      </c>
      <c s="1853" t="s">
        <v>22</v>
      </c>
      <c s="1853" t="s">
        <v>854</v>
      </c>
    </row>
    <row r="719" spans="1:9" ht="11.25" customHeight="1">
      <c r="A719" s="1853" t="s">
        <v>2247</v>
      </c>
      <c s="1853" t="s">
        <v>16</v>
      </c>
      <c s="1853" t="s">
        <v>4205</v>
      </c>
      <c s="1853" t="s">
        <v>4206</v>
      </c>
      <c s="1853" t="s">
        <v>4207</v>
      </c>
      <c s="1853" t="s">
        <v>2982</v>
      </c>
      <c s="1853" t="s">
        <v>4208</v>
      </c>
      <c s="1853" t="s">
        <v>22</v>
      </c>
      <c s="1853" t="s">
        <v>854</v>
      </c>
    </row>
    <row r="720" spans="1:9" ht="11.25" customHeight="1">
      <c r="A720" s="1853" t="s">
        <v>2247</v>
      </c>
      <c s="1853" t="s">
        <v>16</v>
      </c>
      <c s="1853" t="s">
        <v>4209</v>
      </c>
      <c s="1853" t="s">
        <v>4210</v>
      </c>
      <c s="1853" t="s">
        <v>4211</v>
      </c>
      <c s="1853" t="s">
        <v>2675</v>
      </c>
      <c s="1853" t="s">
        <v>4212</v>
      </c>
      <c s="1853" t="s">
        <v>22</v>
      </c>
      <c s="1853" t="s">
        <v>854</v>
      </c>
    </row>
    <row r="721" spans="1:9" ht="11.25" customHeight="1">
      <c r="A721" s="1853" t="s">
        <v>2247</v>
      </c>
      <c s="1853" t="s">
        <v>16</v>
      </c>
      <c s="1853" t="s">
        <v>4213</v>
      </c>
      <c s="1853" t="s">
        <v>4214</v>
      </c>
      <c s="1853" t="s">
        <v>4215</v>
      </c>
      <c s="1853" t="s">
        <v>2382</v>
      </c>
      <c s="1853" t="s">
        <v>4216</v>
      </c>
      <c s="1853" t="s">
        <v>22</v>
      </c>
      <c s="1853" t="s">
        <v>854</v>
      </c>
    </row>
    <row r="722" spans="1:9" ht="11.25" customHeight="1">
      <c r="A722" s="1853" t="s">
        <v>2247</v>
      </c>
      <c s="1853" t="s">
        <v>16</v>
      </c>
      <c s="1853" t="s">
        <v>4217</v>
      </c>
      <c s="1853" t="s">
        <v>4218</v>
      </c>
      <c s="1853" t="s">
        <v>4219</v>
      </c>
      <c s="1853" t="s">
        <v>2382</v>
      </c>
      <c s="1853" t="s">
        <v>4220</v>
      </c>
      <c s="1853" t="s">
        <v>22</v>
      </c>
      <c s="1853" t="s">
        <v>854</v>
      </c>
    </row>
    <row r="723" spans="1:9" ht="11.25" customHeight="1">
      <c r="A723" s="1853" t="s">
        <v>2247</v>
      </c>
      <c s="1853" t="s">
        <v>16</v>
      </c>
      <c s="1853" t="s">
        <v>4221</v>
      </c>
      <c s="1853" t="s">
        <v>4222</v>
      </c>
      <c s="1853" t="s">
        <v>4223</v>
      </c>
      <c s="1853" t="s">
        <v>2386</v>
      </c>
      <c s="1853" t="s">
        <v>22</v>
      </c>
      <c s="1853" t="s">
        <v>22</v>
      </c>
      <c s="1853" t="s">
        <v>854</v>
      </c>
    </row>
    <row r="724" spans="1:9" ht="11.25" customHeight="1">
      <c r="A724" s="1853" t="s">
        <v>2247</v>
      </c>
      <c s="1853" t="s">
        <v>16</v>
      </c>
      <c s="1853" t="s">
        <v>4224</v>
      </c>
      <c s="1853" t="s">
        <v>4225</v>
      </c>
      <c s="1853" t="s">
        <v>4226</v>
      </c>
      <c s="1853" t="s">
        <v>2982</v>
      </c>
      <c s="1853" t="s">
        <v>4227</v>
      </c>
      <c s="1853" t="s">
        <v>22</v>
      </c>
      <c s="1853" t="s">
        <v>854</v>
      </c>
    </row>
    <row r="725" spans="1:9" ht="11.25" customHeight="1">
      <c r="A725" s="1853" t="s">
        <v>2247</v>
      </c>
      <c s="1853" t="s">
        <v>16</v>
      </c>
      <c s="1853" t="s">
        <v>4228</v>
      </c>
      <c s="1853" t="s">
        <v>4229</v>
      </c>
      <c s="1853" t="s">
        <v>4230</v>
      </c>
      <c s="1853" t="s">
        <v>2982</v>
      </c>
      <c s="1853" t="s">
        <v>4231</v>
      </c>
      <c s="1853" t="s">
        <v>22</v>
      </c>
      <c s="1853" t="s">
        <v>854</v>
      </c>
    </row>
    <row r="726" spans="1:9" ht="11.25" customHeight="1">
      <c r="A726" s="1853" t="s">
        <v>2247</v>
      </c>
      <c s="1853" t="s">
        <v>16</v>
      </c>
      <c s="1853" t="s">
        <v>2718</v>
      </c>
      <c s="1853" t="s">
        <v>2719</v>
      </c>
      <c s="1853" t="s">
        <v>2720</v>
      </c>
      <c s="1853" t="s">
        <v>2568</v>
      </c>
      <c s="1853" t="s">
        <v>22</v>
      </c>
      <c s="1853" t="s">
        <v>22</v>
      </c>
      <c s="1853" t="s">
        <v>854</v>
      </c>
    </row>
    <row r="727" spans="1:9" ht="11.25" customHeight="1">
      <c r="A727" s="1853" t="s">
        <v>2247</v>
      </c>
      <c s="1853" t="s">
        <v>16</v>
      </c>
      <c s="1853" t="s">
        <v>4232</v>
      </c>
      <c s="1853" t="s">
        <v>4233</v>
      </c>
      <c s="1853" t="s">
        <v>4234</v>
      </c>
      <c s="1853" t="s">
        <v>2382</v>
      </c>
      <c s="1853" t="s">
        <v>4235</v>
      </c>
      <c s="1853" t="s">
        <v>22</v>
      </c>
      <c s="1853" t="s">
        <v>854</v>
      </c>
    </row>
    <row r="728" spans="1:9" ht="11.25" customHeight="1">
      <c r="A728" s="1853" t="s">
        <v>2247</v>
      </c>
      <c s="1853" t="s">
        <v>16</v>
      </c>
      <c s="1853" t="s">
        <v>4236</v>
      </c>
      <c s="1853" t="s">
        <v>4237</v>
      </c>
      <c s="1853" t="s">
        <v>4238</v>
      </c>
      <c s="1853" t="s">
        <v>2386</v>
      </c>
      <c s="1853" t="s">
        <v>22</v>
      </c>
      <c s="1853" t="s">
        <v>22</v>
      </c>
      <c s="1853" t="s">
        <v>854</v>
      </c>
    </row>
    <row r="729" spans="1:9" ht="11.25" customHeight="1">
      <c r="A729" s="1853" t="s">
        <v>2247</v>
      </c>
      <c s="1853" t="s">
        <v>16</v>
      </c>
      <c s="1853" t="s">
        <v>2728</v>
      </c>
      <c s="1853" t="s">
        <v>2729</v>
      </c>
      <c s="1853" t="s">
        <v>2730</v>
      </c>
      <c s="1853" t="s">
        <v>2731</v>
      </c>
      <c s="1853" t="s">
        <v>2732</v>
      </c>
      <c s="1853" t="s">
        <v>22</v>
      </c>
      <c s="1853" t="s">
        <v>854</v>
      </c>
    </row>
    <row r="730" spans="1:9" ht="11.25" customHeight="1">
      <c r="A730" s="1853" t="s">
        <v>2247</v>
      </c>
      <c s="1853" t="s">
        <v>16</v>
      </c>
      <c s="1853" t="s">
        <v>4239</v>
      </c>
      <c s="1853" t="s">
        <v>4240</v>
      </c>
      <c s="1853" t="s">
        <v>4241</v>
      </c>
      <c s="1853" t="s">
        <v>2693</v>
      </c>
      <c s="1853" t="s">
        <v>4242</v>
      </c>
      <c s="1853" t="s">
        <v>22</v>
      </c>
      <c s="1853" t="s">
        <v>854</v>
      </c>
    </row>
    <row r="731" spans="1:9" ht="11.25" customHeight="1">
      <c r="A731" s="1853" t="s">
        <v>2247</v>
      </c>
      <c s="1853" t="s">
        <v>16</v>
      </c>
      <c s="1853" t="s">
        <v>4243</v>
      </c>
      <c s="1853" t="s">
        <v>4244</v>
      </c>
      <c s="1853" t="s">
        <v>4245</v>
      </c>
      <c s="1853" t="s">
        <v>2604</v>
      </c>
      <c s="1853" t="s">
        <v>22</v>
      </c>
      <c s="1853" t="s">
        <v>22</v>
      </c>
      <c s="1853" t="s">
        <v>854</v>
      </c>
    </row>
    <row r="732" spans="1:9" ht="11.25" customHeight="1">
      <c r="A732" s="1853" t="s">
        <v>2247</v>
      </c>
      <c s="1853" t="s">
        <v>16</v>
      </c>
      <c s="1853" t="s">
        <v>2733</v>
      </c>
      <c s="1853" t="s">
        <v>2734</v>
      </c>
      <c s="1853" t="s">
        <v>2735</v>
      </c>
      <c s="1853" t="s">
        <v>2370</v>
      </c>
      <c s="1853" t="s">
        <v>22</v>
      </c>
      <c s="1853" t="s">
        <v>22</v>
      </c>
      <c s="1853" t="s">
        <v>854</v>
      </c>
    </row>
    <row r="733" spans="1:9" ht="11.25" customHeight="1">
      <c r="A733" s="1853" t="s">
        <v>2247</v>
      </c>
      <c s="1853" t="s">
        <v>16</v>
      </c>
      <c s="1853" t="s">
        <v>4246</v>
      </c>
      <c s="1853" t="s">
        <v>4247</v>
      </c>
      <c s="1853" t="s">
        <v>4248</v>
      </c>
      <c s="1853" t="s">
        <v>2675</v>
      </c>
      <c s="1853" t="s">
        <v>4249</v>
      </c>
      <c s="1853" t="s">
        <v>22</v>
      </c>
      <c s="1853" t="s">
        <v>854</v>
      </c>
    </row>
    <row r="734" spans="1:9" ht="11.25" customHeight="1">
      <c r="A734" s="1853" t="s">
        <v>2247</v>
      </c>
      <c s="1853" t="s">
        <v>16</v>
      </c>
      <c s="1853" t="s">
        <v>2736</v>
      </c>
      <c s="1853" t="s">
        <v>2737</v>
      </c>
      <c s="1853" t="s">
        <v>2738</v>
      </c>
      <c s="1853" t="s">
        <v>2386</v>
      </c>
      <c s="1853" t="s">
        <v>22</v>
      </c>
      <c s="1853" t="s">
        <v>22</v>
      </c>
      <c s="1853" t="s">
        <v>854</v>
      </c>
    </row>
    <row r="735" spans="1:9" ht="11.25" customHeight="1">
      <c r="A735" s="1853" t="s">
        <v>2247</v>
      </c>
      <c s="1853" t="s">
        <v>16</v>
      </c>
      <c s="1853" t="s">
        <v>4250</v>
      </c>
      <c s="1853" t="s">
        <v>4251</v>
      </c>
      <c s="1853" t="s">
        <v>4252</v>
      </c>
      <c s="1853" t="s">
        <v>2265</v>
      </c>
      <c s="1853" t="s">
        <v>22</v>
      </c>
      <c s="1853" t="s">
        <v>22</v>
      </c>
      <c s="1853" t="s">
        <v>854</v>
      </c>
    </row>
    <row r="736" spans="1:9" ht="11.25" customHeight="1">
      <c r="A736" s="1853" t="s">
        <v>2247</v>
      </c>
      <c s="1853" t="s">
        <v>16</v>
      </c>
      <c s="1853" t="s">
        <v>4253</v>
      </c>
      <c s="1853" t="s">
        <v>4254</v>
      </c>
      <c s="1853" t="s">
        <v>4255</v>
      </c>
      <c s="1853" t="s">
        <v>2386</v>
      </c>
      <c s="1853" t="s">
        <v>22</v>
      </c>
      <c s="1853" t="s">
        <v>22</v>
      </c>
      <c s="1853" t="s">
        <v>854</v>
      </c>
    </row>
    <row r="737" spans="1:9" ht="11.25" customHeight="1">
      <c r="A737" s="1853" t="s">
        <v>2247</v>
      </c>
      <c s="1853" t="s">
        <v>16</v>
      </c>
      <c s="1853" t="s">
        <v>2743</v>
      </c>
      <c s="1853" t="s">
        <v>2744</v>
      </c>
      <c s="1853" t="s">
        <v>2745</v>
      </c>
      <c s="1853" t="s">
        <v>2716</v>
      </c>
      <c s="1853" t="s">
        <v>2746</v>
      </c>
      <c s="1853" t="s">
        <v>22</v>
      </c>
      <c s="1853" t="s">
        <v>854</v>
      </c>
    </row>
    <row r="738" spans="1:9" ht="11.25" customHeight="1">
      <c r="A738" s="1853" t="s">
        <v>2247</v>
      </c>
      <c s="1853" t="s">
        <v>16</v>
      </c>
      <c s="1853" t="s">
        <v>4256</v>
      </c>
      <c s="1853" t="s">
        <v>4257</v>
      </c>
      <c s="1853" t="s">
        <v>4258</v>
      </c>
      <c s="1853" t="s">
        <v>2675</v>
      </c>
      <c s="1853" t="s">
        <v>4200</v>
      </c>
      <c s="1853" t="s">
        <v>22</v>
      </c>
      <c s="1853" t="s">
        <v>854</v>
      </c>
    </row>
    <row r="739" spans="1:9" ht="11.25" customHeight="1">
      <c r="A739" s="1853" t="s">
        <v>2247</v>
      </c>
      <c s="1853" t="s">
        <v>16</v>
      </c>
      <c s="1853" t="s">
        <v>2747</v>
      </c>
      <c s="1853" t="s">
        <v>2748</v>
      </c>
      <c s="1853" t="s">
        <v>2749</v>
      </c>
      <c s="1853" t="s">
        <v>2659</v>
      </c>
      <c s="1853" t="s">
        <v>2750</v>
      </c>
      <c s="1853" t="s">
        <v>22</v>
      </c>
      <c s="1853" t="s">
        <v>854</v>
      </c>
    </row>
    <row r="740" spans="1:9" ht="11.25" customHeight="1">
      <c r="A740" s="1853" t="s">
        <v>2247</v>
      </c>
      <c s="1853" t="s">
        <v>16</v>
      </c>
      <c s="1853" t="s">
        <v>4259</v>
      </c>
      <c s="1853" t="s">
        <v>4260</v>
      </c>
      <c s="1853" t="s">
        <v>4261</v>
      </c>
      <c s="1853" t="s">
        <v>2319</v>
      </c>
      <c s="1853" t="s">
        <v>4130</v>
      </c>
      <c s="1853" t="s">
        <v>22</v>
      </c>
      <c s="1853" t="s">
        <v>854</v>
      </c>
    </row>
    <row r="741" spans="1:9" ht="11.25" customHeight="1">
      <c r="A741" s="1853" t="s">
        <v>2247</v>
      </c>
      <c s="1853" t="s">
        <v>16</v>
      </c>
      <c s="1853" t="s">
        <v>4262</v>
      </c>
      <c s="1853" t="s">
        <v>4263</v>
      </c>
      <c s="1853" t="s">
        <v>4264</v>
      </c>
      <c s="1853" t="s">
        <v>3615</v>
      </c>
      <c s="1853" t="s">
        <v>4265</v>
      </c>
      <c s="1853" t="s">
        <v>22</v>
      </c>
      <c s="1853" t="s">
        <v>854</v>
      </c>
    </row>
    <row r="742" spans="1:9" ht="11.25" customHeight="1">
      <c r="A742" s="1853" t="s">
        <v>2247</v>
      </c>
      <c s="1853" t="s">
        <v>16</v>
      </c>
      <c s="1853" t="s">
        <v>4266</v>
      </c>
      <c s="1853" t="s">
        <v>4267</v>
      </c>
      <c s="1853" t="s">
        <v>4268</v>
      </c>
      <c s="1853" t="s">
        <v>2716</v>
      </c>
      <c s="1853" t="s">
        <v>4269</v>
      </c>
      <c s="1853" t="s">
        <v>22</v>
      </c>
      <c s="1853" t="s">
        <v>854</v>
      </c>
    </row>
    <row r="743" spans="1:9" ht="11.25" customHeight="1">
      <c r="A743" s="1853" t="s">
        <v>2247</v>
      </c>
      <c s="1853" t="s">
        <v>16</v>
      </c>
      <c s="1853" t="s">
        <v>4270</v>
      </c>
      <c s="1853" t="s">
        <v>4271</v>
      </c>
      <c s="1853" t="s">
        <v>4272</v>
      </c>
      <c s="1853" t="s">
        <v>2265</v>
      </c>
      <c s="1853" t="s">
        <v>4273</v>
      </c>
      <c s="1853" t="s">
        <v>22</v>
      </c>
      <c s="1853" t="s">
        <v>854</v>
      </c>
    </row>
    <row r="744" spans="1:9" ht="11.25" customHeight="1">
      <c r="A744" s="1853" t="s">
        <v>2247</v>
      </c>
      <c s="1853" t="s">
        <v>16</v>
      </c>
      <c s="1853" t="s">
        <v>2751</v>
      </c>
      <c s="1853" t="s">
        <v>2752</v>
      </c>
      <c s="1853" t="s">
        <v>2753</v>
      </c>
      <c s="1853" t="s">
        <v>2395</v>
      </c>
      <c s="1853" t="s">
        <v>22</v>
      </c>
      <c s="1853" t="s">
        <v>22</v>
      </c>
      <c s="1853" t="s">
        <v>854</v>
      </c>
    </row>
    <row r="745" spans="1:9" ht="11.25" customHeight="1">
      <c r="A745" s="1853" t="s">
        <v>2247</v>
      </c>
      <c s="1853" t="s">
        <v>16</v>
      </c>
      <c s="1853" t="s">
        <v>4274</v>
      </c>
      <c s="1853" t="s">
        <v>4275</v>
      </c>
      <c s="1853" t="s">
        <v>4276</v>
      </c>
      <c s="1853" t="s">
        <v>2489</v>
      </c>
      <c s="1853" t="s">
        <v>22</v>
      </c>
      <c s="1853" t="s">
        <v>22</v>
      </c>
      <c s="1853" t="s">
        <v>854</v>
      </c>
    </row>
    <row r="746" spans="1:9" ht="11.25" customHeight="1">
      <c r="A746" s="1853" t="s">
        <v>2247</v>
      </c>
      <c s="1853" t="s">
        <v>16</v>
      </c>
      <c s="1853" t="s">
        <v>4277</v>
      </c>
      <c s="1853" t="s">
        <v>4278</v>
      </c>
      <c s="1853" t="s">
        <v>4279</v>
      </c>
      <c s="1853" t="s">
        <v>2680</v>
      </c>
      <c s="1853" t="s">
        <v>22</v>
      </c>
      <c s="1853" t="s">
        <v>22</v>
      </c>
      <c s="1853" t="s">
        <v>854</v>
      </c>
    </row>
    <row r="747" spans="1:9" ht="11.25" customHeight="1">
      <c r="A747" s="1853" t="s">
        <v>2247</v>
      </c>
      <c s="1853" t="s">
        <v>16</v>
      </c>
      <c s="1853" t="s">
        <v>2757</v>
      </c>
      <c s="1853" t="s">
        <v>2758</v>
      </c>
      <c s="1853" t="s">
        <v>2759</v>
      </c>
      <c s="1853" t="s">
        <v>51</v>
      </c>
      <c s="1853" t="s">
        <v>2760</v>
      </c>
      <c s="1853" t="s">
        <v>22</v>
      </c>
      <c s="1853" t="s">
        <v>854</v>
      </c>
    </row>
    <row r="748" spans="1:9" ht="11.25" customHeight="1">
      <c r="A748" s="1853" t="s">
        <v>2247</v>
      </c>
      <c s="1853" t="s">
        <v>16</v>
      </c>
      <c s="1853" t="s">
        <v>4280</v>
      </c>
      <c s="1853" t="s">
        <v>4281</v>
      </c>
      <c s="1853" t="s">
        <v>4282</v>
      </c>
      <c s="1853" t="s">
        <v>2464</v>
      </c>
      <c s="1853" t="s">
        <v>4283</v>
      </c>
      <c s="1853" t="s">
        <v>22</v>
      </c>
      <c s="1853" t="s">
        <v>854</v>
      </c>
    </row>
    <row r="749" spans="1:9" ht="11.25" customHeight="1">
      <c r="A749" s="1853" t="s">
        <v>2247</v>
      </c>
      <c s="1853" t="s">
        <v>16</v>
      </c>
      <c s="1853" t="s">
        <v>4284</v>
      </c>
      <c s="1853" t="s">
        <v>4285</v>
      </c>
      <c s="1853" t="s">
        <v>4286</v>
      </c>
      <c s="1853" t="s">
        <v>2632</v>
      </c>
      <c s="1853" t="s">
        <v>4287</v>
      </c>
      <c s="1853" t="s">
        <v>22</v>
      </c>
      <c s="1853" t="s">
        <v>854</v>
      </c>
    </row>
    <row r="750" spans="1:9" ht="11.25" customHeight="1">
      <c r="A750" s="1853" t="s">
        <v>2247</v>
      </c>
      <c s="1853" t="s">
        <v>16</v>
      </c>
      <c s="1853" t="s">
        <v>4288</v>
      </c>
      <c s="1853" t="s">
        <v>4289</v>
      </c>
      <c s="1853" t="s">
        <v>4290</v>
      </c>
      <c s="1853" t="s">
        <v>2632</v>
      </c>
      <c s="1853" t="s">
        <v>4291</v>
      </c>
      <c s="1853" t="s">
        <v>22</v>
      </c>
      <c s="1853" t="s">
        <v>854</v>
      </c>
    </row>
    <row r="751" spans="1:9" ht="11.25" customHeight="1">
      <c r="A751" s="1853" t="s">
        <v>2247</v>
      </c>
      <c s="1853" t="s">
        <v>16</v>
      </c>
      <c s="1853" t="s">
        <v>2761</v>
      </c>
      <c s="1853" t="s">
        <v>2762</v>
      </c>
      <c s="1853" t="s">
        <v>2763</v>
      </c>
      <c s="1853" t="s">
        <v>2632</v>
      </c>
      <c s="1853" t="s">
        <v>2764</v>
      </c>
      <c s="1853" t="s">
        <v>22</v>
      </c>
      <c s="1853" t="s">
        <v>854</v>
      </c>
    </row>
    <row r="752" spans="1:9" ht="11.25" customHeight="1">
      <c r="A752" s="1853" t="s">
        <v>2247</v>
      </c>
      <c s="1853" t="s">
        <v>16</v>
      </c>
      <c s="1853" t="s">
        <v>2774</v>
      </c>
      <c s="1853" t="s">
        <v>2775</v>
      </c>
      <c s="1853" t="s">
        <v>2776</v>
      </c>
      <c s="1853" t="s">
        <v>2260</v>
      </c>
      <c s="1853" t="s">
        <v>22</v>
      </c>
      <c s="1853" t="s">
        <v>22</v>
      </c>
      <c s="1853" t="s">
        <v>854</v>
      </c>
    </row>
    <row r="753" spans="1:9" ht="11.25" customHeight="1">
      <c r="A753" s="1853" t="s">
        <v>2247</v>
      </c>
      <c s="1853" t="s">
        <v>16</v>
      </c>
      <c s="1853" t="s">
        <v>4292</v>
      </c>
      <c s="1853" t="s">
        <v>4293</v>
      </c>
      <c s="1853" t="s">
        <v>4294</v>
      </c>
      <c s="1853" t="s">
        <v>3187</v>
      </c>
      <c s="1853" t="s">
        <v>22</v>
      </c>
      <c s="1853" t="s">
        <v>22</v>
      </c>
      <c s="1853" t="s">
        <v>854</v>
      </c>
    </row>
    <row r="754" spans="1:9" ht="11.25" customHeight="1">
      <c r="A754" s="1853" t="s">
        <v>2247</v>
      </c>
      <c s="1853" t="s">
        <v>16</v>
      </c>
      <c s="1853" t="s">
        <v>4295</v>
      </c>
      <c s="1853" t="s">
        <v>4296</v>
      </c>
      <c s="1853" t="s">
        <v>4297</v>
      </c>
      <c s="1853" t="s">
        <v>2265</v>
      </c>
      <c s="1853" t="s">
        <v>22</v>
      </c>
      <c s="1853" t="s">
        <v>22</v>
      </c>
      <c s="1853" t="s">
        <v>854</v>
      </c>
    </row>
    <row r="755" spans="1:9" ht="11.25" customHeight="1">
      <c r="A755" s="1853" t="s">
        <v>2247</v>
      </c>
      <c s="1853" t="s">
        <v>16</v>
      </c>
      <c s="1853" t="s">
        <v>4298</v>
      </c>
      <c s="1853" t="s">
        <v>4299</v>
      </c>
      <c s="1853" t="s">
        <v>4300</v>
      </c>
      <c s="1853" t="s">
        <v>2464</v>
      </c>
      <c s="1853" t="s">
        <v>4301</v>
      </c>
      <c s="1853" t="s">
        <v>22</v>
      </c>
      <c s="1853" t="s">
        <v>854</v>
      </c>
    </row>
    <row r="756" spans="1:9" ht="11.25" customHeight="1">
      <c r="A756" s="1853" t="s">
        <v>2247</v>
      </c>
      <c s="1853" t="s">
        <v>16</v>
      </c>
      <c s="1853" t="s">
        <v>2802</v>
      </c>
      <c s="1853" t="s">
        <v>2803</v>
      </c>
      <c s="1853" t="s">
        <v>2804</v>
      </c>
      <c s="1853" t="s">
        <v>2555</v>
      </c>
      <c s="1853" t="s">
        <v>2805</v>
      </c>
      <c s="1853" t="s">
        <v>22</v>
      </c>
      <c s="1853" t="s">
        <v>854</v>
      </c>
    </row>
    <row r="757" spans="1:9" ht="11.25" customHeight="1">
      <c r="A757" s="1853" t="s">
        <v>2247</v>
      </c>
      <c s="1853" t="s">
        <v>16</v>
      </c>
      <c s="1853" t="s">
        <v>4302</v>
      </c>
      <c s="1853" t="s">
        <v>4303</v>
      </c>
      <c s="1853" t="s">
        <v>4304</v>
      </c>
      <c s="1853" t="s">
        <v>2265</v>
      </c>
      <c s="1853" t="s">
        <v>22</v>
      </c>
      <c s="1853" t="s">
        <v>22</v>
      </c>
      <c s="1853" t="s">
        <v>854</v>
      </c>
    </row>
    <row r="758" spans="1:9" ht="11.25" customHeight="1">
      <c r="A758" s="1853" t="s">
        <v>2247</v>
      </c>
      <c s="1853" t="s">
        <v>16</v>
      </c>
      <c s="1853" t="s">
        <v>4305</v>
      </c>
      <c s="1853" t="s">
        <v>4306</v>
      </c>
      <c s="1853" t="s">
        <v>4307</v>
      </c>
      <c s="1853" t="s">
        <v>2265</v>
      </c>
      <c s="1853" t="s">
        <v>22</v>
      </c>
      <c s="1853" t="s">
        <v>22</v>
      </c>
      <c s="1853" t="s">
        <v>854</v>
      </c>
    </row>
    <row r="759" spans="1:9" ht="11.25" customHeight="1">
      <c r="A759" s="1853" t="s">
        <v>2247</v>
      </c>
      <c s="1853" t="s">
        <v>16</v>
      </c>
      <c s="1853" t="s">
        <v>2821</v>
      </c>
      <c s="1853" t="s">
        <v>2822</v>
      </c>
      <c s="1853" t="s">
        <v>2823</v>
      </c>
      <c s="1853" t="s">
        <v>2290</v>
      </c>
      <c s="1853" t="s">
        <v>2824</v>
      </c>
      <c s="1853" t="s">
        <v>22</v>
      </c>
      <c s="1853" t="s">
        <v>854</v>
      </c>
    </row>
    <row r="760" spans="1:9" ht="11.25" customHeight="1">
      <c r="A760" s="1853" t="s">
        <v>2247</v>
      </c>
      <c s="1853" t="s">
        <v>16</v>
      </c>
      <c s="1853" t="s">
        <v>2831</v>
      </c>
      <c s="1853" t="s">
        <v>2832</v>
      </c>
      <c s="1853" t="s">
        <v>2833</v>
      </c>
      <c s="1853" t="s">
        <v>2632</v>
      </c>
      <c s="1853" t="s">
        <v>2834</v>
      </c>
      <c s="1853" t="s">
        <v>22</v>
      </c>
      <c s="1853" t="s">
        <v>854</v>
      </c>
    </row>
    <row r="761" spans="1:9" ht="11.25" customHeight="1">
      <c r="A761" s="1853" t="s">
        <v>2247</v>
      </c>
      <c s="1853" t="s">
        <v>16</v>
      </c>
      <c s="1853" t="s">
        <v>4308</v>
      </c>
      <c s="1853" t="s">
        <v>4309</v>
      </c>
      <c s="1853" t="s">
        <v>4310</v>
      </c>
      <c s="1853" t="s">
        <v>2842</v>
      </c>
      <c s="1853" t="s">
        <v>4311</v>
      </c>
      <c s="1853" t="s">
        <v>22</v>
      </c>
      <c s="1853" t="s">
        <v>854</v>
      </c>
    </row>
    <row r="762" spans="1:9" ht="11.25" customHeight="1">
      <c r="A762" s="1853" t="s">
        <v>2247</v>
      </c>
      <c s="1853" t="s">
        <v>16</v>
      </c>
      <c s="1853" t="s">
        <v>4312</v>
      </c>
      <c s="1853" t="s">
        <v>4313</v>
      </c>
      <c s="1853" t="s">
        <v>4314</v>
      </c>
      <c s="1853" t="s">
        <v>3954</v>
      </c>
      <c s="1853" t="s">
        <v>22</v>
      </c>
      <c s="1853" t="s">
        <v>22</v>
      </c>
      <c s="1853" t="s">
        <v>854</v>
      </c>
    </row>
    <row r="763" spans="1:9" ht="11.25" customHeight="1">
      <c r="A763" s="1853" t="s">
        <v>2247</v>
      </c>
      <c s="1853" t="s">
        <v>16</v>
      </c>
      <c s="1853" t="s">
        <v>4315</v>
      </c>
      <c s="1853" t="s">
        <v>4316</v>
      </c>
      <c s="1853" t="s">
        <v>4317</v>
      </c>
      <c s="1853" t="s">
        <v>2639</v>
      </c>
      <c s="1853" t="s">
        <v>4318</v>
      </c>
      <c s="1853" t="s">
        <v>22</v>
      </c>
      <c s="1853" t="s">
        <v>854</v>
      </c>
    </row>
    <row r="764" spans="1:9" ht="11.25" customHeight="1">
      <c r="A764" s="1853" t="s">
        <v>2247</v>
      </c>
      <c s="1853" t="s">
        <v>16</v>
      </c>
      <c s="1853" t="s">
        <v>4319</v>
      </c>
      <c s="1853" t="s">
        <v>4320</v>
      </c>
      <c s="1853" t="s">
        <v>4321</v>
      </c>
      <c s="1853" t="s">
        <v>2551</v>
      </c>
      <c s="1853" t="s">
        <v>4322</v>
      </c>
      <c s="1853" t="s">
        <v>22</v>
      </c>
      <c s="1853" t="s">
        <v>854</v>
      </c>
    </row>
    <row r="765" spans="1:9" ht="11.25" customHeight="1">
      <c r="A765" s="1853" t="s">
        <v>2247</v>
      </c>
      <c s="1853" t="s">
        <v>16</v>
      </c>
      <c s="1853" t="s">
        <v>4323</v>
      </c>
      <c s="1853" t="s">
        <v>4324</v>
      </c>
      <c s="1853" t="s">
        <v>4325</v>
      </c>
      <c s="1853" t="s">
        <v>2251</v>
      </c>
      <c s="1853" t="s">
        <v>4326</v>
      </c>
      <c s="1853" t="s">
        <v>22</v>
      </c>
      <c s="1853" t="s">
        <v>854</v>
      </c>
    </row>
    <row r="766" spans="1:9" ht="11.25" customHeight="1">
      <c r="A766" s="1853" t="s">
        <v>2247</v>
      </c>
      <c s="1853" t="s">
        <v>16</v>
      </c>
      <c s="1853" t="s">
        <v>4327</v>
      </c>
      <c s="1853" t="s">
        <v>4328</v>
      </c>
      <c s="1853" t="s">
        <v>4329</v>
      </c>
      <c s="1853" t="s">
        <v>2507</v>
      </c>
      <c s="1853" t="s">
        <v>3803</v>
      </c>
      <c s="1853" t="s">
        <v>22</v>
      </c>
      <c s="1853" t="s">
        <v>854</v>
      </c>
    </row>
    <row r="767" spans="1:9" ht="11.25" customHeight="1">
      <c r="A767" s="1853" t="s">
        <v>2247</v>
      </c>
      <c s="1853" t="s">
        <v>16</v>
      </c>
      <c s="1853" t="s">
        <v>2862</v>
      </c>
      <c s="1853" t="s">
        <v>2863</v>
      </c>
      <c s="1853" t="s">
        <v>2864</v>
      </c>
      <c s="1853" t="s">
        <v>2639</v>
      </c>
      <c s="1853" t="s">
        <v>2865</v>
      </c>
      <c s="1853" t="s">
        <v>22</v>
      </c>
      <c s="1853" t="s">
        <v>854</v>
      </c>
    </row>
    <row r="768" spans="1:9" ht="11.25" customHeight="1">
      <c r="A768" s="1853" t="s">
        <v>2247</v>
      </c>
      <c s="1853" t="s">
        <v>16</v>
      </c>
      <c s="1853" t="s">
        <v>4330</v>
      </c>
      <c s="1853" t="s">
        <v>4331</v>
      </c>
      <c s="1853" t="s">
        <v>4332</v>
      </c>
      <c s="1853" t="s">
        <v>2454</v>
      </c>
      <c s="1853" t="s">
        <v>22</v>
      </c>
      <c s="1853" t="s">
        <v>22</v>
      </c>
      <c s="1853" t="s">
        <v>854</v>
      </c>
    </row>
    <row r="769" spans="1:9" ht="11.25" customHeight="1">
      <c r="A769" s="1853" t="s">
        <v>2247</v>
      </c>
      <c s="1853" t="s">
        <v>16</v>
      </c>
      <c s="1853" t="s">
        <v>4333</v>
      </c>
      <c s="1853" t="s">
        <v>4334</v>
      </c>
      <c s="1853" t="s">
        <v>4335</v>
      </c>
      <c s="1853" t="s">
        <v>51</v>
      </c>
      <c s="1853" t="s">
        <v>4336</v>
      </c>
      <c s="1853" t="s">
        <v>22</v>
      </c>
      <c s="1853" t="s">
        <v>854</v>
      </c>
    </row>
    <row r="770" spans="1:9" ht="11.25" customHeight="1">
      <c r="A770" s="1853" t="s">
        <v>2247</v>
      </c>
      <c s="1853" t="s">
        <v>16</v>
      </c>
      <c s="1853" t="s">
        <v>4337</v>
      </c>
      <c s="1853" t="s">
        <v>4338</v>
      </c>
      <c s="1853" t="s">
        <v>4339</v>
      </c>
      <c s="1853" t="s">
        <v>51</v>
      </c>
      <c s="1853" t="s">
        <v>4336</v>
      </c>
      <c s="1853" t="s">
        <v>22</v>
      </c>
      <c s="1853" t="s">
        <v>854</v>
      </c>
    </row>
    <row r="771" spans="1:9" ht="11.25" customHeight="1">
      <c r="A771" s="1853" t="s">
        <v>2247</v>
      </c>
      <c s="1853" t="s">
        <v>16</v>
      </c>
      <c s="1853" t="s">
        <v>4340</v>
      </c>
      <c s="1853" t="s">
        <v>4341</v>
      </c>
      <c s="1853" t="s">
        <v>4342</v>
      </c>
      <c s="1853" t="s">
        <v>51</v>
      </c>
      <c s="1853" t="s">
        <v>4343</v>
      </c>
      <c s="1853" t="s">
        <v>22</v>
      </c>
      <c s="1853" t="s">
        <v>854</v>
      </c>
    </row>
    <row r="772" spans="1:9" ht="11.25" customHeight="1">
      <c r="A772" s="1853" t="s">
        <v>2247</v>
      </c>
      <c s="1853" t="s">
        <v>16</v>
      </c>
      <c s="1853" t="s">
        <v>4344</v>
      </c>
      <c s="1853" t="s">
        <v>4345</v>
      </c>
      <c s="1853" t="s">
        <v>4346</v>
      </c>
      <c s="1853" t="s">
        <v>51</v>
      </c>
      <c s="1853" t="s">
        <v>4347</v>
      </c>
      <c s="1853" t="s">
        <v>22</v>
      </c>
      <c s="1853" t="s">
        <v>854</v>
      </c>
    </row>
    <row r="773" spans="1:9" ht="11.25" customHeight="1">
      <c r="A773" s="1853" t="s">
        <v>2247</v>
      </c>
      <c s="1853" t="s">
        <v>16</v>
      </c>
      <c s="1853" t="s">
        <v>4348</v>
      </c>
      <c s="1853" t="s">
        <v>4349</v>
      </c>
      <c s="1853" t="s">
        <v>4350</v>
      </c>
      <c s="1853" t="s">
        <v>2328</v>
      </c>
      <c s="1853" t="s">
        <v>4351</v>
      </c>
      <c s="1853" t="s">
        <v>22</v>
      </c>
      <c s="1853" t="s">
        <v>854</v>
      </c>
    </row>
    <row r="774" spans="1:9" ht="11.25" customHeight="1">
      <c r="A774" s="1853" t="s">
        <v>2247</v>
      </c>
      <c s="1853" t="s">
        <v>16</v>
      </c>
      <c s="1853" t="s">
        <v>4352</v>
      </c>
      <c s="1853" t="s">
        <v>4353</v>
      </c>
      <c s="1853" t="s">
        <v>4354</v>
      </c>
      <c s="1853" t="s">
        <v>3146</v>
      </c>
      <c s="1853" t="s">
        <v>22</v>
      </c>
      <c s="1853" t="s">
        <v>22</v>
      </c>
      <c s="1853" t="s">
        <v>854</v>
      </c>
    </row>
    <row r="775" spans="1:9" ht="11.25" customHeight="1">
      <c r="A775" s="1853" t="s">
        <v>2247</v>
      </c>
      <c s="1853" t="s">
        <v>16</v>
      </c>
      <c s="1853" t="s">
        <v>4355</v>
      </c>
      <c s="1853" t="s">
        <v>4356</v>
      </c>
      <c s="1853" t="s">
        <v>4357</v>
      </c>
      <c s="1853" t="s">
        <v>3203</v>
      </c>
      <c s="1853" t="s">
        <v>4358</v>
      </c>
      <c s="1853" t="s">
        <v>22</v>
      </c>
      <c s="1853" t="s">
        <v>854</v>
      </c>
    </row>
    <row r="776" spans="1:9" ht="11.25" customHeight="1">
      <c r="A776" s="1853" t="s">
        <v>2247</v>
      </c>
      <c s="1853" t="s">
        <v>16</v>
      </c>
      <c s="1853" t="s">
        <v>4359</v>
      </c>
      <c s="1853" t="s">
        <v>4360</v>
      </c>
      <c s="1853" t="s">
        <v>4361</v>
      </c>
      <c s="1853" t="s">
        <v>51</v>
      </c>
      <c s="1853" t="s">
        <v>4362</v>
      </c>
      <c s="1853" t="s">
        <v>22</v>
      </c>
      <c s="1853" t="s">
        <v>854</v>
      </c>
    </row>
    <row r="777" spans="1:9" ht="11.25" customHeight="1">
      <c r="A777" s="1853" t="s">
        <v>2247</v>
      </c>
      <c s="1853" t="s">
        <v>16</v>
      </c>
      <c s="1853" t="s">
        <v>4363</v>
      </c>
      <c s="1853" t="s">
        <v>4360</v>
      </c>
      <c s="1853" t="s">
        <v>4364</v>
      </c>
      <c s="1853" t="s">
        <v>3187</v>
      </c>
      <c s="1853" t="s">
        <v>22</v>
      </c>
      <c s="1853" t="s">
        <v>22</v>
      </c>
      <c s="1853" t="s">
        <v>854</v>
      </c>
    </row>
    <row r="778" spans="1:9" ht="11.25" customHeight="1">
      <c r="A778" s="1853" t="s">
        <v>2247</v>
      </c>
      <c s="1853" t="s">
        <v>16</v>
      </c>
      <c s="1853" t="s">
        <v>4365</v>
      </c>
      <c s="1853" t="s">
        <v>4360</v>
      </c>
      <c s="1853" t="s">
        <v>4366</v>
      </c>
      <c s="1853" t="s">
        <v>2604</v>
      </c>
      <c s="1853" t="s">
        <v>4367</v>
      </c>
      <c s="1853" t="s">
        <v>22</v>
      </c>
      <c s="1853" t="s">
        <v>854</v>
      </c>
    </row>
    <row r="779" spans="1:9" ht="11.25" customHeight="1">
      <c r="A779" s="1853" t="s">
        <v>2247</v>
      </c>
      <c s="1853" t="s">
        <v>16</v>
      </c>
      <c s="1853" t="s">
        <v>4368</v>
      </c>
      <c s="1853" t="s">
        <v>4369</v>
      </c>
      <c s="1853" t="s">
        <v>4370</v>
      </c>
      <c s="1853" t="s">
        <v>51</v>
      </c>
      <c s="1853" t="s">
        <v>4371</v>
      </c>
      <c s="1853" t="s">
        <v>22</v>
      </c>
      <c s="1853" t="s">
        <v>854</v>
      </c>
    </row>
    <row r="780" spans="1:9" ht="11.25" customHeight="1">
      <c r="A780" s="1853" t="s">
        <v>2247</v>
      </c>
      <c s="1853" t="s">
        <v>16</v>
      </c>
      <c s="1853" t="s">
        <v>4372</v>
      </c>
      <c s="1853" t="s">
        <v>4373</v>
      </c>
      <c s="1853" t="s">
        <v>4374</v>
      </c>
      <c s="1853" t="s">
        <v>3954</v>
      </c>
      <c s="1853" t="s">
        <v>4375</v>
      </c>
      <c s="1853" t="s">
        <v>22</v>
      </c>
      <c s="1853" t="s">
        <v>854</v>
      </c>
    </row>
    <row r="781" spans="1:9" ht="11.25" customHeight="1">
      <c r="A781" s="1853" t="s">
        <v>2247</v>
      </c>
      <c s="1853" t="s">
        <v>16</v>
      </c>
      <c s="1853" t="s">
        <v>4376</v>
      </c>
      <c s="1853" t="s">
        <v>4377</v>
      </c>
      <c s="1853" t="s">
        <v>4378</v>
      </c>
      <c s="1853" t="s">
        <v>3954</v>
      </c>
      <c s="1853" t="s">
        <v>22</v>
      </c>
      <c s="1853" t="s">
        <v>22</v>
      </c>
      <c s="1853" t="s">
        <v>854</v>
      </c>
    </row>
    <row r="782" spans="1:9" ht="11.25" customHeight="1">
      <c r="A782" s="1853" t="s">
        <v>2247</v>
      </c>
      <c s="1853" t="s">
        <v>16</v>
      </c>
      <c s="1853" t="s">
        <v>4379</v>
      </c>
      <c s="1853" t="s">
        <v>4380</v>
      </c>
      <c s="1853" t="s">
        <v>4381</v>
      </c>
      <c s="1853" t="s">
        <v>2842</v>
      </c>
      <c s="1853" t="s">
        <v>4382</v>
      </c>
      <c s="1853" t="s">
        <v>22</v>
      </c>
      <c s="1853" t="s">
        <v>854</v>
      </c>
    </row>
    <row r="783" spans="1:9" ht="11.25" customHeight="1">
      <c r="A783" s="1853" t="s">
        <v>2247</v>
      </c>
      <c s="1853" t="s">
        <v>16</v>
      </c>
      <c s="1853" t="s">
        <v>4383</v>
      </c>
      <c s="1853" t="s">
        <v>4384</v>
      </c>
      <c s="1853" t="s">
        <v>4385</v>
      </c>
      <c s="1853" t="s">
        <v>2659</v>
      </c>
      <c s="1853" t="s">
        <v>4386</v>
      </c>
      <c s="1853" t="s">
        <v>22</v>
      </c>
      <c s="1853" t="s">
        <v>854</v>
      </c>
    </row>
    <row r="784" spans="1:9" ht="11.25" customHeight="1">
      <c r="A784" s="1853" t="s">
        <v>2247</v>
      </c>
      <c s="1853" t="s">
        <v>16</v>
      </c>
      <c s="1853" t="s">
        <v>4387</v>
      </c>
      <c s="1853" t="s">
        <v>4388</v>
      </c>
      <c s="1853" t="s">
        <v>4389</v>
      </c>
      <c s="1853" t="s">
        <v>3388</v>
      </c>
      <c s="1853" t="s">
        <v>22</v>
      </c>
      <c s="1853" t="s">
        <v>22</v>
      </c>
      <c s="1853" t="s">
        <v>854</v>
      </c>
    </row>
    <row r="785" spans="1:9" ht="11.25" customHeight="1">
      <c r="A785" s="1853" t="s">
        <v>2247</v>
      </c>
      <c s="1853" t="s">
        <v>16</v>
      </c>
      <c s="1853" t="s">
        <v>4390</v>
      </c>
      <c s="1853" t="s">
        <v>4391</v>
      </c>
      <c s="1853" t="s">
        <v>4392</v>
      </c>
      <c s="1853" t="s">
        <v>4393</v>
      </c>
      <c s="1853" t="s">
        <v>22</v>
      </c>
      <c s="1853" t="s">
        <v>22</v>
      </c>
      <c s="1853" t="s">
        <v>854</v>
      </c>
    </row>
    <row r="786" spans="1:9" ht="11.25" customHeight="1">
      <c r="A786" s="1853" t="s">
        <v>2247</v>
      </c>
      <c s="1853" t="s">
        <v>16</v>
      </c>
      <c s="1853" t="s">
        <v>4394</v>
      </c>
      <c s="1853" t="s">
        <v>4395</v>
      </c>
      <c s="1853" t="s">
        <v>4396</v>
      </c>
      <c s="1853" t="s">
        <v>4397</v>
      </c>
      <c s="1853" t="s">
        <v>4398</v>
      </c>
      <c s="1853" t="s">
        <v>22</v>
      </c>
      <c s="1853" t="s">
        <v>854</v>
      </c>
    </row>
    <row r="787" spans="1:9" ht="11.25" customHeight="1">
      <c r="A787" s="1853" t="s">
        <v>2247</v>
      </c>
      <c s="1853" t="s">
        <v>16</v>
      </c>
      <c s="1853" t="s">
        <v>4399</v>
      </c>
      <c s="1853" t="s">
        <v>4400</v>
      </c>
      <c s="1853" t="s">
        <v>4401</v>
      </c>
      <c s="1853" t="s">
        <v>2551</v>
      </c>
      <c s="1853" t="s">
        <v>4402</v>
      </c>
      <c s="1853" t="s">
        <v>22</v>
      </c>
      <c s="1853" t="s">
        <v>854</v>
      </c>
    </row>
    <row r="788" spans="1:9" ht="11.25" customHeight="1">
      <c r="A788" s="1853" t="s">
        <v>2247</v>
      </c>
      <c s="1853" t="s">
        <v>16</v>
      </c>
      <c s="1853" t="s">
        <v>4403</v>
      </c>
      <c s="1853" t="s">
        <v>4404</v>
      </c>
      <c s="1853" t="s">
        <v>4405</v>
      </c>
      <c s="1853" t="s">
        <v>2301</v>
      </c>
      <c s="1853" t="s">
        <v>4406</v>
      </c>
      <c s="1853" t="s">
        <v>22</v>
      </c>
      <c s="1853" t="s">
        <v>854</v>
      </c>
    </row>
    <row r="789" spans="1:9" ht="11.25" customHeight="1">
      <c r="A789" s="1853" t="s">
        <v>2247</v>
      </c>
      <c s="1853" t="s">
        <v>16</v>
      </c>
      <c s="1853" t="s">
        <v>4407</v>
      </c>
      <c s="1853" t="s">
        <v>4408</v>
      </c>
      <c s="1853" t="s">
        <v>4409</v>
      </c>
      <c s="1853" t="s">
        <v>3146</v>
      </c>
      <c s="1853" t="s">
        <v>22</v>
      </c>
      <c s="1853" t="s">
        <v>22</v>
      </c>
      <c s="1853" t="s">
        <v>854</v>
      </c>
    </row>
    <row r="790" spans="1:9" ht="11.25" customHeight="1">
      <c r="A790" s="1853" t="s">
        <v>2247</v>
      </c>
      <c s="1853" t="s">
        <v>16</v>
      </c>
      <c s="1853" t="s">
        <v>4410</v>
      </c>
      <c s="1853" t="s">
        <v>4411</v>
      </c>
      <c s="1853" t="s">
        <v>4412</v>
      </c>
      <c s="1853" t="s">
        <v>2712</v>
      </c>
      <c s="1853" t="s">
        <v>22</v>
      </c>
      <c s="1853" t="s">
        <v>22</v>
      </c>
      <c s="1853" t="s">
        <v>854</v>
      </c>
    </row>
    <row r="791" spans="1:9" ht="11.25" customHeight="1">
      <c r="A791" s="1853" t="s">
        <v>2247</v>
      </c>
      <c s="1853" t="s">
        <v>16</v>
      </c>
      <c s="1853" t="s">
        <v>4413</v>
      </c>
      <c s="1853" t="s">
        <v>4414</v>
      </c>
      <c s="1853" t="s">
        <v>4415</v>
      </c>
      <c s="1853" t="s">
        <v>2684</v>
      </c>
      <c s="1853" t="s">
        <v>4416</v>
      </c>
      <c s="1853" t="s">
        <v>22</v>
      </c>
      <c s="1853" t="s">
        <v>854</v>
      </c>
    </row>
    <row r="792" spans="1:9" ht="11.25" customHeight="1">
      <c r="A792" s="1853" t="s">
        <v>2247</v>
      </c>
      <c s="1853" t="s">
        <v>16</v>
      </c>
      <c s="1853" t="s">
        <v>4417</v>
      </c>
      <c s="1853" t="s">
        <v>4418</v>
      </c>
      <c s="1853" t="s">
        <v>4419</v>
      </c>
      <c s="1853" t="s">
        <v>2324</v>
      </c>
      <c s="1853" t="s">
        <v>4420</v>
      </c>
      <c s="1853" t="s">
        <v>22</v>
      </c>
      <c s="1853" t="s">
        <v>854</v>
      </c>
    </row>
    <row r="793" spans="1:9" ht="11.25" customHeight="1">
      <c r="A793" s="1853" t="s">
        <v>2247</v>
      </c>
      <c s="1853" t="s">
        <v>16</v>
      </c>
      <c s="1853" t="s">
        <v>4421</v>
      </c>
      <c s="1853" t="s">
        <v>4422</v>
      </c>
      <c s="1853" t="s">
        <v>4423</v>
      </c>
      <c s="1853" t="s">
        <v>2684</v>
      </c>
      <c s="1853" t="s">
        <v>4416</v>
      </c>
      <c s="1853" t="s">
        <v>22</v>
      </c>
      <c s="1853" t="s">
        <v>854</v>
      </c>
    </row>
    <row r="794" spans="1:9" ht="11.25" customHeight="1">
      <c r="A794" s="1853" t="s">
        <v>2247</v>
      </c>
      <c s="1853" t="s">
        <v>16</v>
      </c>
      <c s="1853" t="s">
        <v>4424</v>
      </c>
      <c s="1853" t="s">
        <v>4425</v>
      </c>
      <c s="1853" t="s">
        <v>4426</v>
      </c>
      <c s="1853" t="s">
        <v>2689</v>
      </c>
      <c s="1853" t="s">
        <v>22</v>
      </c>
      <c s="1853" t="s">
        <v>22</v>
      </c>
      <c s="1853" t="s">
        <v>854</v>
      </c>
    </row>
    <row r="795" spans="1:9" ht="11.25" customHeight="1">
      <c r="A795" s="1853" t="s">
        <v>2247</v>
      </c>
      <c s="1853" t="s">
        <v>16</v>
      </c>
      <c s="1853" t="s">
        <v>4427</v>
      </c>
      <c s="1853" t="s">
        <v>4428</v>
      </c>
      <c s="1853" t="s">
        <v>4429</v>
      </c>
      <c s="1853" t="s">
        <v>2290</v>
      </c>
      <c s="1853" t="s">
        <v>22</v>
      </c>
      <c s="1853" t="s">
        <v>22</v>
      </c>
      <c s="1853" t="s">
        <v>854</v>
      </c>
    </row>
    <row r="796" spans="1:9" ht="11.25" customHeight="1">
      <c r="A796" s="1853" t="s">
        <v>2247</v>
      </c>
      <c s="1853" t="s">
        <v>16</v>
      </c>
      <c s="1853" t="s">
        <v>4430</v>
      </c>
      <c s="1853" t="s">
        <v>4431</v>
      </c>
      <c s="1853" t="s">
        <v>4432</v>
      </c>
      <c s="1853" t="s">
        <v>51</v>
      </c>
      <c s="1853" t="s">
        <v>4433</v>
      </c>
      <c s="1853" t="s">
        <v>22</v>
      </c>
      <c s="1853" t="s">
        <v>854</v>
      </c>
    </row>
    <row r="797" spans="1:9" ht="11.25" customHeight="1">
      <c r="A797" s="1853" t="s">
        <v>2247</v>
      </c>
      <c s="1853" t="s">
        <v>16</v>
      </c>
      <c s="1853" t="s">
        <v>4434</v>
      </c>
      <c s="1853" t="s">
        <v>4435</v>
      </c>
      <c s="1853" t="s">
        <v>4436</v>
      </c>
      <c s="1853" t="s">
        <v>51</v>
      </c>
      <c s="1853" t="s">
        <v>22</v>
      </c>
      <c s="1853" t="s">
        <v>22</v>
      </c>
      <c s="1853" t="s">
        <v>854</v>
      </c>
    </row>
    <row r="798" spans="1:9" ht="11.25" customHeight="1">
      <c r="A798" s="1853" t="s">
        <v>2247</v>
      </c>
      <c s="1853" t="s">
        <v>16</v>
      </c>
      <c s="1853" t="s">
        <v>4437</v>
      </c>
      <c s="1853" t="s">
        <v>4438</v>
      </c>
      <c s="1853" t="s">
        <v>4439</v>
      </c>
      <c s="1853" t="s">
        <v>51</v>
      </c>
      <c s="1853" t="s">
        <v>4440</v>
      </c>
      <c s="1853" t="s">
        <v>22</v>
      </c>
      <c s="1853" t="s">
        <v>854</v>
      </c>
    </row>
    <row r="799" spans="1:9" ht="11.25" customHeight="1">
      <c r="A799" s="1853" t="s">
        <v>2247</v>
      </c>
      <c s="1853" t="s">
        <v>16</v>
      </c>
      <c s="1853" t="s">
        <v>4441</v>
      </c>
      <c s="1853" t="s">
        <v>4442</v>
      </c>
      <c s="1853" t="s">
        <v>4436</v>
      </c>
      <c s="1853" t="s">
        <v>2301</v>
      </c>
      <c s="1853" t="s">
        <v>4443</v>
      </c>
      <c s="1853" t="s">
        <v>22</v>
      </c>
      <c s="1853" t="s">
        <v>854</v>
      </c>
    </row>
    <row r="800" spans="1:9" ht="11.25" customHeight="1">
      <c r="A800" s="1853" t="s">
        <v>2247</v>
      </c>
      <c s="1853" t="s">
        <v>16</v>
      </c>
      <c s="1853" t="s">
        <v>4444</v>
      </c>
      <c s="1853" t="s">
        <v>4445</v>
      </c>
      <c s="1853" t="s">
        <v>4446</v>
      </c>
      <c s="1853" t="s">
        <v>2842</v>
      </c>
      <c s="1853" t="s">
        <v>4447</v>
      </c>
      <c s="1853" t="s">
        <v>22</v>
      </c>
      <c s="1853" t="s">
        <v>854</v>
      </c>
    </row>
    <row r="801" spans="1:9" ht="11.25" customHeight="1">
      <c r="A801" s="1853" t="s">
        <v>2247</v>
      </c>
      <c s="1853" t="s">
        <v>16</v>
      </c>
      <c s="1853" t="s">
        <v>4448</v>
      </c>
      <c s="1853" t="s">
        <v>4445</v>
      </c>
      <c s="1853" t="s">
        <v>4449</v>
      </c>
      <c s="1853" t="s">
        <v>2604</v>
      </c>
      <c s="1853" t="s">
        <v>22</v>
      </c>
      <c s="1853" t="s">
        <v>22</v>
      </c>
      <c s="1853" t="s">
        <v>854</v>
      </c>
    </row>
    <row r="802" spans="1:9" ht="11.25" customHeight="1">
      <c r="A802" s="1853" t="s">
        <v>2247</v>
      </c>
      <c s="1853" t="s">
        <v>16</v>
      </c>
      <c s="1853" t="s">
        <v>4450</v>
      </c>
      <c s="1853" t="s">
        <v>4451</v>
      </c>
      <c s="1853" t="s">
        <v>4452</v>
      </c>
      <c s="1853" t="s">
        <v>2499</v>
      </c>
      <c s="1853" t="s">
        <v>4453</v>
      </c>
      <c s="1853" t="s">
        <v>22</v>
      </c>
      <c s="1853" t="s">
        <v>854</v>
      </c>
    </row>
    <row r="803" spans="1:9" ht="11.25" customHeight="1">
      <c r="A803" s="1853" t="s">
        <v>2247</v>
      </c>
      <c s="1853" t="s">
        <v>16</v>
      </c>
      <c s="1853" t="s">
        <v>4454</v>
      </c>
      <c s="1853" t="s">
        <v>4451</v>
      </c>
      <c s="1853" t="s">
        <v>4455</v>
      </c>
      <c s="1853" t="s">
        <v>2712</v>
      </c>
      <c s="1853" t="s">
        <v>4456</v>
      </c>
      <c s="1853" t="s">
        <v>22</v>
      </c>
      <c s="1853" t="s">
        <v>854</v>
      </c>
    </row>
    <row r="804" spans="1:9" ht="11.25" customHeight="1">
      <c r="A804" s="1853" t="s">
        <v>2247</v>
      </c>
      <c s="1853" t="s">
        <v>16</v>
      </c>
      <c s="1853" t="s">
        <v>4457</v>
      </c>
      <c s="1853" t="s">
        <v>4458</v>
      </c>
      <c s="1853" t="s">
        <v>4459</v>
      </c>
      <c s="1853" t="s">
        <v>2265</v>
      </c>
      <c s="1853" t="s">
        <v>22</v>
      </c>
      <c s="1853" t="s">
        <v>22</v>
      </c>
      <c s="1853" t="s">
        <v>854</v>
      </c>
    </row>
    <row r="805" spans="1:9" ht="11.25" customHeight="1">
      <c r="A805" s="1853" t="s">
        <v>2247</v>
      </c>
      <c s="1853" t="s">
        <v>16</v>
      </c>
      <c s="1853" t="s">
        <v>4460</v>
      </c>
      <c s="1853" t="s">
        <v>4461</v>
      </c>
      <c s="1853" t="s">
        <v>4462</v>
      </c>
      <c s="1853" t="s">
        <v>2680</v>
      </c>
      <c s="1853" t="s">
        <v>4463</v>
      </c>
      <c s="1853" t="s">
        <v>22</v>
      </c>
      <c s="1853" t="s">
        <v>854</v>
      </c>
    </row>
    <row r="806" spans="1:9" ht="11.25" customHeight="1">
      <c r="A806" s="1853" t="s">
        <v>2247</v>
      </c>
      <c s="1853" t="s">
        <v>16</v>
      </c>
      <c s="1853" t="s">
        <v>4464</v>
      </c>
      <c s="1853" t="s">
        <v>4465</v>
      </c>
      <c s="1853" t="s">
        <v>4466</v>
      </c>
      <c s="1853" t="s">
        <v>51</v>
      </c>
      <c s="1853" t="s">
        <v>4467</v>
      </c>
      <c s="1853" t="s">
        <v>22</v>
      </c>
      <c s="1853" t="s">
        <v>854</v>
      </c>
    </row>
    <row r="807" spans="1:9" ht="11.25" customHeight="1">
      <c r="A807" s="1853" t="s">
        <v>2247</v>
      </c>
      <c s="1853" t="s">
        <v>16</v>
      </c>
      <c s="1853" t="s">
        <v>4468</v>
      </c>
      <c s="1853" t="s">
        <v>4469</v>
      </c>
      <c s="1853" t="s">
        <v>4470</v>
      </c>
      <c s="1853" t="s">
        <v>2290</v>
      </c>
      <c s="1853" t="s">
        <v>4471</v>
      </c>
      <c s="1853" t="s">
        <v>22</v>
      </c>
      <c s="1853" t="s">
        <v>854</v>
      </c>
    </row>
    <row r="808" spans="1:9" ht="11.25" customHeight="1">
      <c r="A808" s="1853" t="s">
        <v>2247</v>
      </c>
      <c s="1853" t="s">
        <v>16</v>
      </c>
      <c s="1853" t="s">
        <v>4472</v>
      </c>
      <c s="1853" t="s">
        <v>4473</v>
      </c>
      <c s="1853" t="s">
        <v>4474</v>
      </c>
      <c s="1853" t="s">
        <v>2684</v>
      </c>
      <c s="1853" t="s">
        <v>4475</v>
      </c>
      <c s="1853" t="s">
        <v>22</v>
      </c>
      <c s="1853" t="s">
        <v>854</v>
      </c>
    </row>
    <row r="809" spans="1:9" ht="11.25" customHeight="1">
      <c r="A809" s="1853" t="s">
        <v>2247</v>
      </c>
      <c s="1853" t="s">
        <v>16</v>
      </c>
      <c s="1853" t="s">
        <v>2971</v>
      </c>
      <c s="1853" t="s">
        <v>2972</v>
      </c>
      <c s="1853" t="s">
        <v>2973</v>
      </c>
      <c s="1853" t="s">
        <v>2251</v>
      </c>
      <c s="1853" t="s">
        <v>2974</v>
      </c>
      <c s="1853" t="s">
        <v>22</v>
      </c>
      <c s="1853" t="s">
        <v>854</v>
      </c>
    </row>
    <row r="810" spans="1:9" ht="11.25" customHeight="1">
      <c r="A810" s="1853" t="s">
        <v>2247</v>
      </c>
      <c s="1853" t="s">
        <v>16</v>
      </c>
      <c s="1853" t="s">
        <v>4476</v>
      </c>
      <c s="1853" t="s">
        <v>4477</v>
      </c>
      <c s="1853" t="s">
        <v>4478</v>
      </c>
      <c s="1853" t="s">
        <v>2632</v>
      </c>
      <c s="1853" t="s">
        <v>4479</v>
      </c>
      <c s="1853" t="s">
        <v>22</v>
      </c>
      <c s="1853" t="s">
        <v>854</v>
      </c>
    </row>
    <row r="811" spans="1:9" ht="11.25" customHeight="1">
      <c r="A811" s="1853" t="s">
        <v>2247</v>
      </c>
      <c s="1853" t="s">
        <v>16</v>
      </c>
      <c s="1853" t="s">
        <v>2975</v>
      </c>
      <c s="1853" t="s">
        <v>2976</v>
      </c>
      <c s="1853" t="s">
        <v>2977</v>
      </c>
      <c s="1853" t="s">
        <v>2251</v>
      </c>
      <c s="1853" t="s">
        <v>2978</v>
      </c>
      <c s="1853" t="s">
        <v>22</v>
      </c>
      <c s="1853" t="s">
        <v>854</v>
      </c>
    </row>
    <row r="812" spans="1:9" ht="11.25" customHeight="1">
      <c r="A812" s="1853" t="s">
        <v>2247</v>
      </c>
      <c s="1853" t="s">
        <v>16</v>
      </c>
      <c s="1853" t="s">
        <v>4480</v>
      </c>
      <c s="1853" t="s">
        <v>4481</v>
      </c>
      <c s="1853" t="s">
        <v>4482</v>
      </c>
      <c s="1853" t="s">
        <v>2328</v>
      </c>
      <c s="1853" t="s">
        <v>4483</v>
      </c>
      <c s="1853" t="s">
        <v>22</v>
      </c>
      <c s="1853" t="s">
        <v>854</v>
      </c>
    </row>
    <row r="813" spans="1:9" ht="11.25" customHeight="1">
      <c r="A813" s="1853" t="s">
        <v>2247</v>
      </c>
      <c s="1853" t="s">
        <v>16</v>
      </c>
      <c s="1853" t="s">
        <v>4484</v>
      </c>
      <c s="1853" t="s">
        <v>4485</v>
      </c>
      <c s="1853" t="s">
        <v>4486</v>
      </c>
      <c s="1853" t="s">
        <v>2842</v>
      </c>
      <c s="1853" t="s">
        <v>4487</v>
      </c>
      <c s="1853" t="s">
        <v>22</v>
      </c>
      <c s="1853" t="s">
        <v>854</v>
      </c>
    </row>
    <row r="814" spans="1:9" ht="11.25" customHeight="1">
      <c r="A814" s="1853" t="s">
        <v>2247</v>
      </c>
      <c s="1853" t="s">
        <v>16</v>
      </c>
      <c s="1853" t="s">
        <v>4488</v>
      </c>
      <c s="1853" t="s">
        <v>4489</v>
      </c>
      <c s="1853" t="s">
        <v>4490</v>
      </c>
      <c s="1853" t="s">
        <v>2842</v>
      </c>
      <c s="1853" t="s">
        <v>4491</v>
      </c>
      <c s="1853" t="s">
        <v>22</v>
      </c>
      <c s="1853" t="s">
        <v>854</v>
      </c>
    </row>
    <row r="815" spans="1:9" ht="11.25" customHeight="1">
      <c r="A815" s="1853" t="s">
        <v>2247</v>
      </c>
      <c s="1853" t="s">
        <v>16</v>
      </c>
      <c s="1853" t="s">
        <v>4492</v>
      </c>
      <c s="1853" t="s">
        <v>4493</v>
      </c>
      <c s="1853" t="s">
        <v>4494</v>
      </c>
      <c s="1853" t="s">
        <v>2265</v>
      </c>
      <c s="1853" t="s">
        <v>22</v>
      </c>
      <c s="1853" t="s">
        <v>22</v>
      </c>
      <c s="1853" t="s">
        <v>854</v>
      </c>
    </row>
    <row r="816" spans="1:9" ht="11.25" customHeight="1">
      <c r="A816" s="1853" t="s">
        <v>2247</v>
      </c>
      <c s="1853" t="s">
        <v>16</v>
      </c>
      <c s="1853" t="s">
        <v>4495</v>
      </c>
      <c s="1853" t="s">
        <v>4496</v>
      </c>
      <c s="1853" t="s">
        <v>4497</v>
      </c>
      <c s="1853" t="s">
        <v>2328</v>
      </c>
      <c s="1853" t="s">
        <v>4498</v>
      </c>
      <c s="1853" t="s">
        <v>22</v>
      </c>
      <c s="1853" t="s">
        <v>854</v>
      </c>
    </row>
    <row r="817" spans="1:9" ht="11.25" customHeight="1">
      <c r="A817" s="1853" t="s">
        <v>2247</v>
      </c>
      <c s="1853" t="s">
        <v>16</v>
      </c>
      <c s="1853" t="s">
        <v>4499</v>
      </c>
      <c s="1853" t="s">
        <v>4500</v>
      </c>
      <c s="1853" t="s">
        <v>4501</v>
      </c>
      <c s="1853" t="s">
        <v>4502</v>
      </c>
      <c s="1853" t="s">
        <v>4503</v>
      </c>
      <c s="1853" t="s">
        <v>22</v>
      </c>
      <c s="1853" t="s">
        <v>854</v>
      </c>
    </row>
    <row r="818" spans="1:9" ht="11.25" customHeight="1">
      <c r="A818" s="1853" t="s">
        <v>2247</v>
      </c>
      <c s="1853" t="s">
        <v>16</v>
      </c>
      <c s="1853" t="s">
        <v>4504</v>
      </c>
      <c s="1853" t="s">
        <v>4505</v>
      </c>
      <c s="1853" t="s">
        <v>4506</v>
      </c>
      <c s="1853" t="s">
        <v>51</v>
      </c>
      <c s="1853" t="s">
        <v>4507</v>
      </c>
      <c s="1853" t="s">
        <v>22</v>
      </c>
      <c s="1853" t="s">
        <v>854</v>
      </c>
    </row>
    <row r="819" spans="1:9" ht="11.25" customHeight="1">
      <c r="A819" s="1853" t="s">
        <v>2247</v>
      </c>
      <c s="1853" t="s">
        <v>16</v>
      </c>
      <c s="1853" t="s">
        <v>4508</v>
      </c>
      <c s="1853" t="s">
        <v>4509</v>
      </c>
      <c s="1853" t="s">
        <v>4510</v>
      </c>
      <c s="1853" t="s">
        <v>2588</v>
      </c>
      <c s="1853" t="s">
        <v>4511</v>
      </c>
      <c s="1853" t="s">
        <v>22</v>
      </c>
      <c s="1853" t="s">
        <v>854</v>
      </c>
    </row>
    <row r="820" spans="1:9" ht="11.25" customHeight="1">
      <c r="A820" s="1853" t="s">
        <v>2247</v>
      </c>
      <c s="1853" t="s">
        <v>16</v>
      </c>
      <c s="1853" t="s">
        <v>4512</v>
      </c>
      <c s="1853" t="s">
        <v>4513</v>
      </c>
      <c s="1853" t="s">
        <v>4514</v>
      </c>
      <c s="1853" t="s">
        <v>2251</v>
      </c>
      <c s="1853" t="s">
        <v>4515</v>
      </c>
      <c s="1853" t="s">
        <v>22</v>
      </c>
      <c s="1853" t="s">
        <v>854</v>
      </c>
    </row>
    <row r="821" spans="1:9" ht="11.25" customHeight="1">
      <c r="A821" s="1853" t="s">
        <v>2247</v>
      </c>
      <c s="1853" t="s">
        <v>16</v>
      </c>
      <c s="1853" t="s">
        <v>3058</v>
      </c>
      <c s="1853" t="s">
        <v>3059</v>
      </c>
      <c s="1853" t="s">
        <v>3060</v>
      </c>
      <c s="1853" t="s">
        <v>2568</v>
      </c>
      <c s="1853" t="s">
        <v>22</v>
      </c>
      <c s="1853" t="s">
        <v>22</v>
      </c>
      <c s="1853" t="s">
        <v>854</v>
      </c>
    </row>
    <row r="822" spans="1:9" ht="11.25" customHeight="1">
      <c r="A822" s="1853" t="s">
        <v>2247</v>
      </c>
      <c s="1853" t="s">
        <v>16</v>
      </c>
      <c s="1853" t="s">
        <v>4516</v>
      </c>
      <c s="1853" t="s">
        <v>4517</v>
      </c>
      <c s="1853" t="s">
        <v>4518</v>
      </c>
      <c s="1853" t="s">
        <v>2742</v>
      </c>
      <c s="1853" t="s">
        <v>4519</v>
      </c>
      <c s="1853" t="s">
        <v>22</v>
      </c>
      <c s="1853" t="s">
        <v>854</v>
      </c>
    </row>
    <row r="823" spans="1:9" ht="11.25" customHeight="1">
      <c r="A823" s="1853" t="s">
        <v>2247</v>
      </c>
      <c s="1853" t="s">
        <v>16</v>
      </c>
      <c s="1853" t="s">
        <v>4520</v>
      </c>
      <c s="1853" t="s">
        <v>4521</v>
      </c>
      <c s="1853" t="s">
        <v>4522</v>
      </c>
      <c s="1853" t="s">
        <v>2689</v>
      </c>
      <c s="1853" t="s">
        <v>3803</v>
      </c>
      <c s="1853" t="s">
        <v>22</v>
      </c>
      <c s="1853" t="s">
        <v>854</v>
      </c>
    </row>
    <row r="824" spans="1:9" ht="11.25" customHeight="1">
      <c r="A824" s="1853" t="s">
        <v>2247</v>
      </c>
      <c s="1853" t="s">
        <v>16</v>
      </c>
      <c s="1853" t="s">
        <v>4523</v>
      </c>
      <c s="1853" t="s">
        <v>4524</v>
      </c>
      <c s="1853" t="s">
        <v>4525</v>
      </c>
      <c s="1853" t="s">
        <v>3108</v>
      </c>
      <c s="1853" t="s">
        <v>22</v>
      </c>
      <c s="1853" t="s">
        <v>22</v>
      </c>
      <c s="1853" t="s">
        <v>854</v>
      </c>
    </row>
    <row r="825" spans="1:9" ht="11.25" customHeight="1">
      <c r="A825" s="1853" t="s">
        <v>2247</v>
      </c>
      <c s="1853" t="s">
        <v>16</v>
      </c>
      <c s="1853" t="s">
        <v>3065</v>
      </c>
      <c s="1853" t="s">
        <v>3066</v>
      </c>
      <c s="1853" t="s">
        <v>3067</v>
      </c>
      <c s="1853" t="s">
        <v>2395</v>
      </c>
      <c s="1853" t="s">
        <v>3068</v>
      </c>
      <c s="1853" t="s">
        <v>22</v>
      </c>
      <c s="1853" t="s">
        <v>854</v>
      </c>
    </row>
    <row r="826" spans="1:9" ht="11.25" customHeight="1">
      <c r="A826" s="1853" t="s">
        <v>2247</v>
      </c>
      <c s="1853" t="s">
        <v>16</v>
      </c>
      <c s="1853" t="s">
        <v>4526</v>
      </c>
      <c s="1853" t="s">
        <v>4527</v>
      </c>
      <c s="1853" t="s">
        <v>4528</v>
      </c>
      <c s="1853" t="s">
        <v>2348</v>
      </c>
      <c s="1853" t="s">
        <v>4529</v>
      </c>
      <c s="1853" t="s">
        <v>22</v>
      </c>
      <c s="1853" t="s">
        <v>854</v>
      </c>
    </row>
    <row r="827" spans="1:9" ht="11.25" customHeight="1">
      <c r="A827" s="1853" t="s">
        <v>2247</v>
      </c>
      <c s="1853" t="s">
        <v>16</v>
      </c>
      <c s="1853" t="s">
        <v>4530</v>
      </c>
      <c s="1853" t="s">
        <v>4531</v>
      </c>
      <c s="1853" t="s">
        <v>4532</v>
      </c>
      <c s="1853" t="s">
        <v>2251</v>
      </c>
      <c s="1853" t="s">
        <v>4533</v>
      </c>
      <c s="1853" t="s">
        <v>22</v>
      </c>
      <c s="1853" t="s">
        <v>854</v>
      </c>
    </row>
    <row r="828" spans="1:9" ht="11.25" customHeight="1">
      <c r="A828" s="1853" t="s">
        <v>2247</v>
      </c>
      <c s="1853" t="s">
        <v>16</v>
      </c>
      <c s="1853" t="s">
        <v>4534</v>
      </c>
      <c s="1853" t="s">
        <v>4535</v>
      </c>
      <c s="1853" t="s">
        <v>4536</v>
      </c>
      <c s="1853" t="s">
        <v>2639</v>
      </c>
      <c s="1853" t="s">
        <v>22</v>
      </c>
      <c s="1853" t="s">
        <v>22</v>
      </c>
      <c s="1853" t="s">
        <v>854</v>
      </c>
    </row>
    <row r="829" spans="1:9" ht="11.25" customHeight="1">
      <c r="A829" s="1853" t="s">
        <v>2247</v>
      </c>
      <c s="1853" t="s">
        <v>16</v>
      </c>
      <c s="1853" t="s">
        <v>4537</v>
      </c>
      <c s="1853" t="s">
        <v>4538</v>
      </c>
      <c s="1853" t="s">
        <v>4539</v>
      </c>
      <c s="1853" t="s">
        <v>2251</v>
      </c>
      <c s="1853" t="s">
        <v>4540</v>
      </c>
      <c s="1853" t="s">
        <v>22</v>
      </c>
      <c s="1853" t="s">
        <v>854</v>
      </c>
    </row>
    <row r="830" spans="1:9" ht="11.25" customHeight="1">
      <c r="A830" s="1853" t="s">
        <v>2247</v>
      </c>
      <c s="1853" t="s">
        <v>16</v>
      </c>
      <c s="1853" t="s">
        <v>4541</v>
      </c>
      <c s="1853" t="s">
        <v>4542</v>
      </c>
      <c s="1853" t="s">
        <v>4543</v>
      </c>
      <c s="1853" t="s">
        <v>4544</v>
      </c>
      <c s="1853" t="s">
        <v>4545</v>
      </c>
      <c s="1853" t="s">
        <v>22</v>
      </c>
      <c s="1853" t="s">
        <v>854</v>
      </c>
    </row>
    <row r="831" spans="1:9" ht="11.25" customHeight="1">
      <c r="A831" s="1853" t="s">
        <v>2247</v>
      </c>
      <c s="1853" t="s">
        <v>16</v>
      </c>
      <c s="1853" t="s">
        <v>3105</v>
      </c>
      <c s="1853" t="s">
        <v>3106</v>
      </c>
      <c s="1853" t="s">
        <v>3107</v>
      </c>
      <c s="1853" t="s">
        <v>3108</v>
      </c>
      <c s="1853" t="s">
        <v>22</v>
      </c>
      <c s="1853" t="s">
        <v>22</v>
      </c>
      <c s="1853" t="s">
        <v>854</v>
      </c>
    </row>
    <row r="832" spans="1:9" ht="11.25" customHeight="1">
      <c r="A832" s="1853" t="s">
        <v>2247</v>
      </c>
      <c s="1853" t="s">
        <v>16</v>
      </c>
      <c s="1853" t="s">
        <v>4546</v>
      </c>
      <c s="1853" t="s">
        <v>4547</v>
      </c>
      <c s="1853" t="s">
        <v>4548</v>
      </c>
      <c s="1853" t="s">
        <v>2639</v>
      </c>
      <c s="1853" t="s">
        <v>4549</v>
      </c>
      <c s="1853" t="s">
        <v>22</v>
      </c>
      <c s="1853" t="s">
        <v>854</v>
      </c>
    </row>
    <row r="833" spans="1:9" ht="11.25" customHeight="1">
      <c r="A833" s="1853" t="s">
        <v>2247</v>
      </c>
      <c s="1853" t="s">
        <v>16</v>
      </c>
      <c s="1853" t="s">
        <v>3109</v>
      </c>
      <c s="1853" t="s">
        <v>3110</v>
      </c>
      <c s="1853" t="s">
        <v>3111</v>
      </c>
      <c s="1853" t="s">
        <v>2290</v>
      </c>
      <c s="1853" t="s">
        <v>3112</v>
      </c>
      <c s="1853" t="s">
        <v>22</v>
      </c>
      <c s="1853" t="s">
        <v>854</v>
      </c>
    </row>
    <row r="834" spans="1:9" ht="11.25" customHeight="1">
      <c r="A834" s="1853" t="s">
        <v>2247</v>
      </c>
      <c s="1853" t="s">
        <v>16</v>
      </c>
      <c s="1853" t="s">
        <v>4550</v>
      </c>
      <c s="1853" t="s">
        <v>4551</v>
      </c>
      <c s="1853" t="s">
        <v>4552</v>
      </c>
      <c s="1853" t="s">
        <v>4553</v>
      </c>
      <c s="1853" t="s">
        <v>4554</v>
      </c>
      <c s="1853" t="s">
        <v>22</v>
      </c>
      <c s="1853" t="s">
        <v>854</v>
      </c>
    </row>
    <row r="835" spans="1:9" ht="11.25" customHeight="1">
      <c r="A835" s="1853" t="s">
        <v>2247</v>
      </c>
      <c s="1853" t="s">
        <v>16</v>
      </c>
      <c s="1853" t="s">
        <v>4555</v>
      </c>
      <c s="1853" t="s">
        <v>4556</v>
      </c>
      <c s="1853" t="s">
        <v>4557</v>
      </c>
      <c s="1853" t="s">
        <v>2370</v>
      </c>
      <c s="1853" t="s">
        <v>22</v>
      </c>
      <c s="1853" t="s">
        <v>22</v>
      </c>
      <c s="1853" t="s">
        <v>854</v>
      </c>
    </row>
    <row r="836" spans="1:9" ht="11.25" customHeight="1">
      <c r="A836" s="1853" t="s">
        <v>2247</v>
      </c>
      <c s="1853" t="s">
        <v>16</v>
      </c>
      <c s="1853" t="s">
        <v>4558</v>
      </c>
      <c s="1853" t="s">
        <v>4559</v>
      </c>
      <c s="1853" t="s">
        <v>4560</v>
      </c>
      <c s="1853" t="s">
        <v>51</v>
      </c>
      <c s="1853" t="s">
        <v>4561</v>
      </c>
      <c s="1853" t="s">
        <v>22</v>
      </c>
      <c s="1853" t="s">
        <v>854</v>
      </c>
    </row>
    <row r="837" spans="1:9" ht="11.25" customHeight="1">
      <c r="A837" s="1853" t="s">
        <v>2247</v>
      </c>
      <c s="1853" t="s">
        <v>16</v>
      </c>
      <c s="1853" t="s">
        <v>4562</v>
      </c>
      <c s="1853" t="s">
        <v>4563</v>
      </c>
      <c s="1853" t="s">
        <v>4539</v>
      </c>
      <c s="1853" t="s">
        <v>2290</v>
      </c>
      <c s="1853" t="s">
        <v>4564</v>
      </c>
      <c s="1853" t="s">
        <v>22</v>
      </c>
      <c s="1853" t="s">
        <v>854</v>
      </c>
    </row>
    <row r="838" spans="1:9" ht="11.25" customHeight="1">
      <c r="A838" s="1853" t="s">
        <v>2247</v>
      </c>
      <c s="1853" t="s">
        <v>16</v>
      </c>
      <c s="1853" t="s">
        <v>3120</v>
      </c>
      <c s="1853" t="s">
        <v>3121</v>
      </c>
      <c s="1853" t="s">
        <v>3122</v>
      </c>
      <c s="1853" t="s">
        <v>2391</v>
      </c>
      <c s="1853" t="s">
        <v>3123</v>
      </c>
      <c s="1853" t="s">
        <v>22</v>
      </c>
      <c s="1853" t="s">
        <v>854</v>
      </c>
    </row>
    <row r="839" spans="1:9" ht="11.25" customHeight="1">
      <c r="A839" s="1853" t="s">
        <v>2247</v>
      </c>
      <c s="1853" t="s">
        <v>16</v>
      </c>
      <c s="1853" t="s">
        <v>3192</v>
      </c>
      <c s="1853" t="s">
        <v>3193</v>
      </c>
      <c s="1853" t="s">
        <v>3194</v>
      </c>
      <c s="1853" t="s">
        <v>2395</v>
      </c>
      <c s="1853" t="s">
        <v>3195</v>
      </c>
      <c s="1853" t="s">
        <v>22</v>
      </c>
      <c s="1853" t="s">
        <v>854</v>
      </c>
    </row>
    <row r="840" spans="1:9" ht="11.25" customHeight="1">
      <c r="A840" s="1853" t="s">
        <v>2247</v>
      </c>
      <c s="1853" t="s">
        <v>16</v>
      </c>
      <c s="1853" t="s">
        <v>4565</v>
      </c>
      <c s="1853" t="s">
        <v>4566</v>
      </c>
      <c s="1853" t="s">
        <v>4567</v>
      </c>
      <c s="1853" t="s">
        <v>2842</v>
      </c>
      <c s="1853" t="s">
        <v>4568</v>
      </c>
      <c s="1853" t="s">
        <v>22</v>
      </c>
      <c s="1853" t="s">
        <v>854</v>
      </c>
    </row>
    <row r="841" spans="1:9" ht="11.25" customHeight="1">
      <c r="A841" s="1853" t="s">
        <v>2247</v>
      </c>
      <c s="1853" t="s">
        <v>16</v>
      </c>
      <c s="1853" t="s">
        <v>4569</v>
      </c>
      <c s="1853" t="s">
        <v>4570</v>
      </c>
      <c s="1853" t="s">
        <v>4571</v>
      </c>
      <c s="1853" t="s">
        <v>2982</v>
      </c>
      <c s="1853" t="s">
        <v>4073</v>
      </c>
      <c s="1853" t="s">
        <v>22</v>
      </c>
      <c s="1853" t="s">
        <v>854</v>
      </c>
    </row>
    <row r="842" spans="1:9" ht="11.25" customHeight="1">
      <c r="A842" s="1853" t="s">
        <v>2247</v>
      </c>
      <c s="1853" t="s">
        <v>16</v>
      </c>
      <c s="1853" t="s">
        <v>4572</v>
      </c>
      <c s="1853" t="s">
        <v>4573</v>
      </c>
      <c s="1853" t="s">
        <v>4574</v>
      </c>
      <c s="1853" t="s">
        <v>2639</v>
      </c>
      <c s="1853" t="s">
        <v>4575</v>
      </c>
      <c s="1853" t="s">
        <v>22</v>
      </c>
      <c s="1853" t="s">
        <v>854</v>
      </c>
    </row>
    <row r="843" spans="1:9" ht="11.25" customHeight="1">
      <c r="A843" s="1853" t="s">
        <v>2247</v>
      </c>
      <c s="1853" t="s">
        <v>16</v>
      </c>
      <c s="1853" t="s">
        <v>4576</v>
      </c>
      <c s="1853" t="s">
        <v>4577</v>
      </c>
      <c s="1853" t="s">
        <v>4578</v>
      </c>
      <c s="1853" t="s">
        <v>2265</v>
      </c>
      <c s="1853" t="s">
        <v>22</v>
      </c>
      <c s="1853" t="s">
        <v>22</v>
      </c>
      <c s="1853" t="s">
        <v>854</v>
      </c>
    </row>
    <row r="844" spans="1:9" ht="11.25" customHeight="1">
      <c r="A844" s="1853" t="s">
        <v>2247</v>
      </c>
      <c s="1853" t="s">
        <v>16</v>
      </c>
      <c s="1853" t="s">
        <v>3240</v>
      </c>
      <c s="1853" t="s">
        <v>3241</v>
      </c>
      <c s="1853" t="s">
        <v>3242</v>
      </c>
      <c s="1853" t="s">
        <v>2256</v>
      </c>
      <c s="1853" t="s">
        <v>3243</v>
      </c>
      <c s="1853" t="s">
        <v>22</v>
      </c>
      <c s="1853" t="s">
        <v>854</v>
      </c>
    </row>
    <row r="845" spans="1:9" ht="11.25" customHeight="1">
      <c r="A845" s="1853" t="s">
        <v>2247</v>
      </c>
      <c s="1853" t="s">
        <v>16</v>
      </c>
      <c s="1853" t="s">
        <v>3244</v>
      </c>
      <c s="1853" t="s">
        <v>3245</v>
      </c>
      <c s="1853" t="s">
        <v>3246</v>
      </c>
      <c s="1853" t="s">
        <v>51</v>
      </c>
      <c s="1853" t="s">
        <v>3247</v>
      </c>
      <c s="1853" t="s">
        <v>22</v>
      </c>
      <c s="1853" t="s">
        <v>854</v>
      </c>
    </row>
    <row r="846" spans="1:9" ht="11.25" customHeight="1">
      <c r="A846" s="1853" t="s">
        <v>2247</v>
      </c>
      <c s="1853" t="s">
        <v>16</v>
      </c>
      <c s="1853" t="s">
        <v>4579</v>
      </c>
      <c s="1853" t="s">
        <v>4580</v>
      </c>
      <c s="1853" t="s">
        <v>4581</v>
      </c>
      <c s="1853" t="s">
        <v>4582</v>
      </c>
      <c s="1853" t="s">
        <v>3101</v>
      </c>
      <c s="1853" t="s">
        <v>22</v>
      </c>
      <c s="1853" t="s">
        <v>854</v>
      </c>
    </row>
    <row r="847" spans="1:9" ht="11.25" customHeight="1">
      <c r="A847" s="1853" t="s">
        <v>2247</v>
      </c>
      <c s="1853" t="s">
        <v>16</v>
      </c>
      <c s="1853" t="s">
        <v>4583</v>
      </c>
      <c s="1853" t="s">
        <v>4584</v>
      </c>
      <c s="1853" t="s">
        <v>4585</v>
      </c>
      <c s="1853" t="s">
        <v>51</v>
      </c>
      <c s="1853" t="s">
        <v>4586</v>
      </c>
      <c s="1853" t="s">
        <v>22</v>
      </c>
      <c s="1853" t="s">
        <v>854</v>
      </c>
    </row>
    <row r="848" spans="1:9" ht="11.25" customHeight="1">
      <c r="A848" s="1853" t="s">
        <v>2247</v>
      </c>
      <c s="1853" t="s">
        <v>16</v>
      </c>
      <c s="1853" t="s">
        <v>4587</v>
      </c>
      <c s="1853" t="s">
        <v>4588</v>
      </c>
      <c s="1853" t="s">
        <v>4589</v>
      </c>
      <c s="1853" t="s">
        <v>2684</v>
      </c>
      <c s="1853" t="s">
        <v>4590</v>
      </c>
      <c s="1853" t="s">
        <v>22</v>
      </c>
      <c s="1853" t="s">
        <v>854</v>
      </c>
    </row>
    <row r="849" spans="1:9" ht="11.25" customHeight="1">
      <c r="A849" s="1853" t="s">
        <v>2247</v>
      </c>
      <c s="1853" t="s">
        <v>16</v>
      </c>
      <c s="1853" t="s">
        <v>4591</v>
      </c>
      <c s="1853" t="s">
        <v>4592</v>
      </c>
      <c s="1853" t="s">
        <v>4593</v>
      </c>
      <c s="1853" t="s">
        <v>2712</v>
      </c>
      <c s="1853" t="s">
        <v>4594</v>
      </c>
      <c s="1853" t="s">
        <v>22</v>
      </c>
      <c s="1853" t="s">
        <v>854</v>
      </c>
    </row>
    <row r="850" spans="1:9" ht="11.25" customHeight="1">
      <c r="A850" s="1853" t="s">
        <v>2247</v>
      </c>
      <c s="1853" t="s">
        <v>16</v>
      </c>
      <c s="1853" t="s">
        <v>3277</v>
      </c>
      <c s="1853" t="s">
        <v>3278</v>
      </c>
      <c s="1853" t="s">
        <v>3279</v>
      </c>
      <c s="1853" t="s">
        <v>2251</v>
      </c>
      <c s="1853" t="s">
        <v>22</v>
      </c>
      <c s="1853" t="s">
        <v>22</v>
      </c>
      <c s="1853" t="s">
        <v>854</v>
      </c>
    </row>
    <row r="851" spans="1:9" ht="11.25" customHeight="1">
      <c r="A851" s="1853" t="s">
        <v>2247</v>
      </c>
      <c s="1853" t="s">
        <v>16</v>
      </c>
      <c s="1853" t="s">
        <v>4595</v>
      </c>
      <c s="1853" t="s">
        <v>4596</v>
      </c>
      <c s="1853" t="s">
        <v>4597</v>
      </c>
      <c s="1853" t="s">
        <v>2507</v>
      </c>
      <c s="1853" t="s">
        <v>4598</v>
      </c>
      <c s="1853" t="s">
        <v>22</v>
      </c>
      <c s="1853" t="s">
        <v>854</v>
      </c>
    </row>
    <row r="852" spans="1:9" ht="11.25" customHeight="1">
      <c r="A852" s="1853" t="s">
        <v>2247</v>
      </c>
      <c s="1853" t="s">
        <v>16</v>
      </c>
      <c s="1853" t="s">
        <v>3302</v>
      </c>
      <c s="1853" t="s">
        <v>3303</v>
      </c>
      <c s="1853" t="s">
        <v>3304</v>
      </c>
      <c s="1853" t="s">
        <v>2251</v>
      </c>
      <c s="1853" t="s">
        <v>3305</v>
      </c>
      <c s="1853" t="s">
        <v>22</v>
      </c>
      <c s="1853" t="s">
        <v>854</v>
      </c>
    </row>
    <row r="853" spans="1:9" ht="11.25" customHeight="1">
      <c r="A853" s="1853" t="s">
        <v>2247</v>
      </c>
      <c s="1853" t="s">
        <v>16</v>
      </c>
      <c s="1853" t="s">
        <v>4599</v>
      </c>
      <c s="1853" t="s">
        <v>4600</v>
      </c>
      <c s="1853" t="s">
        <v>4601</v>
      </c>
      <c s="1853" t="s">
        <v>2251</v>
      </c>
      <c s="1853" t="s">
        <v>4602</v>
      </c>
      <c s="1853" t="s">
        <v>22</v>
      </c>
      <c s="1853" t="s">
        <v>854</v>
      </c>
    </row>
    <row r="854" spans="1:9" ht="11.25" customHeight="1">
      <c r="A854" s="1853" t="s">
        <v>2247</v>
      </c>
      <c s="1853" t="s">
        <v>16</v>
      </c>
      <c s="1853" t="s">
        <v>4603</v>
      </c>
      <c s="1853" t="s">
        <v>4604</v>
      </c>
      <c s="1853" t="s">
        <v>4605</v>
      </c>
      <c s="1853" t="s">
        <v>2251</v>
      </c>
      <c s="1853" t="s">
        <v>4606</v>
      </c>
      <c s="1853" t="s">
        <v>22</v>
      </c>
      <c s="1853" t="s">
        <v>854</v>
      </c>
    </row>
    <row r="855" spans="1:9" ht="11.25" customHeight="1">
      <c r="A855" s="1853" t="s">
        <v>2247</v>
      </c>
      <c s="1853" t="s">
        <v>16</v>
      </c>
      <c s="1853" t="s">
        <v>3313</v>
      </c>
      <c s="1853" t="s">
        <v>3314</v>
      </c>
      <c s="1853" t="s">
        <v>3315</v>
      </c>
      <c s="1853" t="s">
        <v>2265</v>
      </c>
      <c s="1853" t="s">
        <v>22</v>
      </c>
      <c s="1853" t="s">
        <v>22</v>
      </c>
      <c s="1853" t="s">
        <v>854</v>
      </c>
    </row>
    <row r="856" spans="1:9" ht="11.25" customHeight="1">
      <c r="A856" s="1853" t="s">
        <v>2247</v>
      </c>
      <c s="1853" t="s">
        <v>16</v>
      </c>
      <c s="1853" t="s">
        <v>4607</v>
      </c>
      <c s="1853" t="s">
        <v>4608</v>
      </c>
      <c s="1853" t="s">
        <v>4609</v>
      </c>
      <c s="1853" t="s">
        <v>2251</v>
      </c>
      <c s="1853" t="s">
        <v>4610</v>
      </c>
      <c s="1853" t="s">
        <v>22</v>
      </c>
      <c s="1853" t="s">
        <v>854</v>
      </c>
    </row>
    <row r="857" spans="1:9" ht="11.25" customHeight="1">
      <c r="A857" s="1853" t="s">
        <v>2247</v>
      </c>
      <c s="1853" t="s">
        <v>16</v>
      </c>
      <c s="1853" t="s">
        <v>4611</v>
      </c>
      <c s="1853" t="s">
        <v>4612</v>
      </c>
      <c s="1853" t="s">
        <v>4613</v>
      </c>
      <c s="1853" t="s">
        <v>2639</v>
      </c>
      <c s="1853" t="s">
        <v>4614</v>
      </c>
      <c s="1853" t="s">
        <v>22</v>
      </c>
      <c s="1853" t="s">
        <v>854</v>
      </c>
    </row>
    <row r="858" spans="1:9" ht="11.25" customHeight="1">
      <c r="A858" s="1853" t="s">
        <v>2247</v>
      </c>
      <c s="1853" t="s">
        <v>16</v>
      </c>
      <c s="1853" t="s">
        <v>4615</v>
      </c>
      <c s="1853" t="s">
        <v>4616</v>
      </c>
      <c s="1853" t="s">
        <v>4617</v>
      </c>
      <c s="1853" t="s">
        <v>2251</v>
      </c>
      <c s="1853" t="s">
        <v>4618</v>
      </c>
      <c s="1853" t="s">
        <v>22</v>
      </c>
      <c s="1853" t="s">
        <v>854</v>
      </c>
    </row>
    <row r="859" spans="1:9" ht="11.25" customHeight="1">
      <c r="A859" s="1853" t="s">
        <v>2247</v>
      </c>
      <c s="1853" t="s">
        <v>16</v>
      </c>
      <c s="1853" t="s">
        <v>3320</v>
      </c>
      <c s="1853" t="s">
        <v>3321</v>
      </c>
      <c s="1853" t="s">
        <v>3322</v>
      </c>
      <c s="1853" t="s">
        <v>2256</v>
      </c>
      <c s="1853" t="s">
        <v>3323</v>
      </c>
      <c s="1853" t="s">
        <v>22</v>
      </c>
      <c s="1853" t="s">
        <v>854</v>
      </c>
    </row>
    <row r="860" spans="1:9" ht="11.25" customHeight="1">
      <c r="A860" s="1853" t="s">
        <v>2247</v>
      </c>
      <c s="1853" t="s">
        <v>16</v>
      </c>
      <c s="1853" t="s">
        <v>3327</v>
      </c>
      <c s="1853" t="s">
        <v>3328</v>
      </c>
      <c s="1853" t="s">
        <v>3329</v>
      </c>
      <c s="1853" t="s">
        <v>3330</v>
      </c>
      <c s="1853" t="s">
        <v>3331</v>
      </c>
      <c s="1853" t="s">
        <v>22</v>
      </c>
      <c s="1853" t="s">
        <v>854</v>
      </c>
    </row>
    <row r="861" spans="1:9" ht="11.25" customHeight="1">
      <c r="A861" s="1853" t="s">
        <v>2247</v>
      </c>
      <c s="1853" t="s">
        <v>16</v>
      </c>
      <c s="1853" t="s">
        <v>4619</v>
      </c>
      <c s="1853" t="s">
        <v>4620</v>
      </c>
      <c s="1853" t="s">
        <v>4621</v>
      </c>
      <c s="1853" t="s">
        <v>51</v>
      </c>
      <c s="1853" t="s">
        <v>4622</v>
      </c>
      <c s="1853" t="s">
        <v>22</v>
      </c>
      <c s="1853" t="s">
        <v>854</v>
      </c>
    </row>
    <row r="862" spans="1:9" ht="11.25" customHeight="1">
      <c r="A862" s="1853" t="s">
        <v>2247</v>
      </c>
      <c s="1853" t="s">
        <v>16</v>
      </c>
      <c s="1853" t="s">
        <v>4623</v>
      </c>
      <c s="1853" t="s">
        <v>4624</v>
      </c>
      <c s="1853" t="s">
        <v>4625</v>
      </c>
      <c s="1853" t="s">
        <v>2265</v>
      </c>
      <c s="1853" t="s">
        <v>22</v>
      </c>
      <c s="1853" t="s">
        <v>22</v>
      </c>
      <c s="1853" t="s">
        <v>854</v>
      </c>
    </row>
    <row r="863" spans="1:9" ht="11.25" customHeight="1">
      <c r="A863" s="1853" t="s">
        <v>2247</v>
      </c>
      <c s="1853" t="s">
        <v>16</v>
      </c>
      <c s="1853" t="s">
        <v>3559</v>
      </c>
      <c s="1853" t="s">
        <v>3560</v>
      </c>
      <c s="1853" t="s">
        <v>2278</v>
      </c>
      <c s="1853" t="s">
        <v>3561</v>
      </c>
      <c s="1853" t="s">
        <v>3562</v>
      </c>
      <c s="1853" t="s">
        <v>22</v>
      </c>
      <c s="1853" t="s">
        <v>854</v>
      </c>
    </row>
    <row r="864" spans="1:9" ht="11.25" customHeight="1">
      <c r="A864" s="1853" t="s">
        <v>2247</v>
      </c>
      <c s="1853" t="s">
        <v>16</v>
      </c>
      <c s="1853" t="s">
        <v>4626</v>
      </c>
      <c s="1853" t="s">
        <v>4627</v>
      </c>
      <c s="1853" t="s">
        <v>4628</v>
      </c>
      <c s="1853" t="s">
        <v>2370</v>
      </c>
      <c s="1853" t="s">
        <v>22</v>
      </c>
      <c s="1853" t="s">
        <v>22</v>
      </c>
      <c s="1853" t="s">
        <v>854</v>
      </c>
    </row>
    <row r="865" spans="1:9" ht="11.25" customHeight="1">
      <c r="A865" s="1853" t="s">
        <v>2247</v>
      </c>
      <c s="1853" t="s">
        <v>16</v>
      </c>
      <c s="1853" t="s">
        <v>3375</v>
      </c>
      <c s="1853" t="s">
        <v>3376</v>
      </c>
      <c s="1853" t="s">
        <v>3377</v>
      </c>
      <c s="1853" t="s">
        <v>2328</v>
      </c>
      <c s="1853" t="s">
        <v>22</v>
      </c>
      <c s="1853" t="s">
        <v>22</v>
      </c>
      <c s="1853" t="s">
        <v>854</v>
      </c>
    </row>
    <row r="866" spans="1:9" ht="11.25" customHeight="1">
      <c r="A866" s="1853" t="s">
        <v>2247</v>
      </c>
      <c s="1853" t="s">
        <v>16</v>
      </c>
      <c s="1853" t="s">
        <v>4629</v>
      </c>
      <c s="1853" t="s">
        <v>4630</v>
      </c>
      <c s="1853" t="s">
        <v>4631</v>
      </c>
      <c s="1853" t="s">
        <v>2731</v>
      </c>
      <c s="1853" t="s">
        <v>3803</v>
      </c>
      <c s="1853" t="s">
        <v>22</v>
      </c>
      <c s="1853" t="s">
        <v>854</v>
      </c>
    </row>
    <row r="867" spans="1:9" ht="11.25" customHeight="1">
      <c r="A867" s="1853" t="s">
        <v>2247</v>
      </c>
      <c s="1853" t="s">
        <v>16</v>
      </c>
      <c s="1853" t="s">
        <v>4632</v>
      </c>
      <c s="1853" t="s">
        <v>4633</v>
      </c>
      <c s="1853" t="s">
        <v>4634</v>
      </c>
      <c s="1853" t="s">
        <v>3388</v>
      </c>
      <c s="1853" t="s">
        <v>4635</v>
      </c>
      <c s="1853" t="s">
        <v>22</v>
      </c>
      <c s="1853" t="s">
        <v>854</v>
      </c>
    </row>
    <row r="868" spans="1:9" ht="11.25" customHeight="1">
      <c r="A868" s="1853" t="s">
        <v>2247</v>
      </c>
      <c s="1853" t="s">
        <v>16</v>
      </c>
      <c s="1853" t="s">
        <v>4636</v>
      </c>
      <c s="1853" t="s">
        <v>4637</v>
      </c>
      <c s="1853" t="s">
        <v>4638</v>
      </c>
      <c s="1853" t="s">
        <v>4639</v>
      </c>
      <c s="1853" t="s">
        <v>4640</v>
      </c>
      <c s="1853" t="s">
        <v>22</v>
      </c>
      <c s="1853" t="s">
        <v>854</v>
      </c>
    </row>
    <row r="869" spans="1:9" ht="11.25" customHeight="1">
      <c r="A869" s="1853" t="s">
        <v>2247</v>
      </c>
      <c s="1853" t="s">
        <v>16</v>
      </c>
      <c s="1853" t="s">
        <v>4641</v>
      </c>
      <c s="1853" t="s">
        <v>4642</v>
      </c>
      <c s="1853" t="s">
        <v>4643</v>
      </c>
      <c s="1853" t="s">
        <v>2731</v>
      </c>
      <c s="1853" t="s">
        <v>3803</v>
      </c>
      <c s="1853" t="s">
        <v>22</v>
      </c>
      <c s="1853" t="s">
        <v>854</v>
      </c>
    </row>
    <row r="870" spans="1:9" ht="11.25" customHeight="1">
      <c r="A870" s="1853" t="s">
        <v>2247</v>
      </c>
      <c s="1853" t="s">
        <v>16</v>
      </c>
      <c s="1853" t="s">
        <v>4644</v>
      </c>
      <c s="1853" t="s">
        <v>4645</v>
      </c>
      <c s="1853" t="s">
        <v>4646</v>
      </c>
      <c s="1853" t="s">
        <v>4647</v>
      </c>
      <c s="1853" t="s">
        <v>22</v>
      </c>
      <c s="1853" t="s">
        <v>22</v>
      </c>
      <c s="1853" t="s">
        <v>854</v>
      </c>
    </row>
    <row r="871" spans="1:9" ht="11.25" customHeight="1">
      <c r="A871" s="1853" t="s">
        <v>2247</v>
      </c>
      <c s="1853" t="s">
        <v>16</v>
      </c>
      <c s="1853" t="s">
        <v>4648</v>
      </c>
      <c s="1853" t="s">
        <v>4649</v>
      </c>
      <c s="1853" t="s">
        <v>4650</v>
      </c>
      <c s="1853" t="s">
        <v>2499</v>
      </c>
      <c s="1853" t="s">
        <v>4651</v>
      </c>
      <c s="1853" t="s">
        <v>22</v>
      </c>
      <c s="1853" t="s">
        <v>854</v>
      </c>
    </row>
    <row r="872" spans="1:9" ht="11.25" customHeight="1">
      <c r="A872" s="1853" t="s">
        <v>2247</v>
      </c>
      <c s="1853" t="s">
        <v>16</v>
      </c>
      <c s="1853" t="s">
        <v>4652</v>
      </c>
      <c s="1853" t="s">
        <v>4653</v>
      </c>
      <c s="1853" t="s">
        <v>4654</v>
      </c>
      <c s="1853" t="s">
        <v>2731</v>
      </c>
      <c s="1853" t="s">
        <v>3803</v>
      </c>
      <c s="1853" t="s">
        <v>22</v>
      </c>
      <c s="1853" t="s">
        <v>854</v>
      </c>
    </row>
    <row r="873" spans="1:9" ht="11.25" customHeight="1">
      <c r="A873" s="1853" t="s">
        <v>2247</v>
      </c>
      <c s="1853" t="s">
        <v>16</v>
      </c>
      <c s="1853" t="s">
        <v>3390</v>
      </c>
      <c s="1853" t="s">
        <v>3391</v>
      </c>
      <c s="1853" t="s">
        <v>3392</v>
      </c>
      <c s="1853" t="s">
        <v>3393</v>
      </c>
      <c s="1853" t="s">
        <v>22</v>
      </c>
      <c s="1853" t="s">
        <v>22</v>
      </c>
      <c s="1853" t="s">
        <v>854</v>
      </c>
    </row>
    <row r="874" spans="1:9" ht="11.25" customHeight="1">
      <c r="A874" s="1853" t="s">
        <v>2247</v>
      </c>
      <c s="1853" t="s">
        <v>16</v>
      </c>
      <c s="1853" t="s">
        <v>3394</v>
      </c>
      <c s="1853" t="s">
        <v>3395</v>
      </c>
      <c s="1853" t="s">
        <v>3396</v>
      </c>
      <c s="1853" t="s">
        <v>3397</v>
      </c>
      <c s="1853" t="s">
        <v>3398</v>
      </c>
      <c s="1853" t="s">
        <v>22</v>
      </c>
      <c s="1853" t="s">
        <v>854</v>
      </c>
    </row>
    <row r="875" spans="1:9" ht="11.25" customHeight="1">
      <c r="A875" s="1853" t="s">
        <v>2247</v>
      </c>
      <c s="1853" t="s">
        <v>16</v>
      </c>
      <c s="1853" t="s">
        <v>3411</v>
      </c>
      <c s="1853" t="s">
        <v>3412</v>
      </c>
      <c s="1853" t="s">
        <v>3413</v>
      </c>
      <c s="1853" t="s">
        <v>2395</v>
      </c>
      <c s="1853" t="s">
        <v>3414</v>
      </c>
      <c s="1853" t="s">
        <v>22</v>
      </c>
      <c s="1853" t="s">
        <v>854</v>
      </c>
    </row>
    <row r="876" spans="1:9" ht="11.25" customHeight="1">
      <c r="A876" s="1853" t="s">
        <v>2247</v>
      </c>
      <c s="1853" t="s">
        <v>16</v>
      </c>
      <c s="1853" t="s">
        <v>3415</v>
      </c>
      <c s="1853" t="s">
        <v>3416</v>
      </c>
      <c s="1853" t="s">
        <v>3417</v>
      </c>
      <c s="1853" t="s">
        <v>51</v>
      </c>
      <c s="1853" t="s">
        <v>3418</v>
      </c>
      <c s="1853" t="s">
        <v>22</v>
      </c>
      <c s="1853" t="s">
        <v>854</v>
      </c>
    </row>
    <row r="877" spans="1:9" ht="11.25" customHeight="1">
      <c r="A877" s="1853" t="s">
        <v>2247</v>
      </c>
      <c s="1853" t="s">
        <v>16</v>
      </c>
      <c s="1853" t="s">
        <v>4655</v>
      </c>
      <c s="1853" t="s">
        <v>4656</v>
      </c>
      <c s="1853" t="s">
        <v>4657</v>
      </c>
      <c s="1853" t="s">
        <v>51</v>
      </c>
      <c s="1853" t="s">
        <v>4658</v>
      </c>
      <c s="1853" t="s">
        <v>22</v>
      </c>
      <c s="1853" t="s">
        <v>854</v>
      </c>
    </row>
    <row r="878" spans="1:9" ht="11.25" customHeight="1">
      <c r="A878" s="1853" t="s">
        <v>2247</v>
      </c>
      <c s="1853" t="s">
        <v>16</v>
      </c>
      <c s="1853" t="s">
        <v>3419</v>
      </c>
      <c s="1853" t="s">
        <v>3420</v>
      </c>
      <c s="1853" t="s">
        <v>3421</v>
      </c>
      <c s="1853" t="s">
        <v>2395</v>
      </c>
      <c s="1853" t="s">
        <v>2469</v>
      </c>
      <c s="1853" t="s">
        <v>22</v>
      </c>
      <c s="1853" t="s">
        <v>854</v>
      </c>
    </row>
    <row r="879" spans="1:9" ht="11.25" customHeight="1">
      <c r="A879" s="1853" t="s">
        <v>2247</v>
      </c>
      <c s="1853" t="s">
        <v>16</v>
      </c>
      <c s="1853" t="s">
        <v>3422</v>
      </c>
      <c s="1853" t="s">
        <v>3423</v>
      </c>
      <c s="1853" t="s">
        <v>3424</v>
      </c>
      <c s="1853" t="s">
        <v>51</v>
      </c>
      <c s="1853" t="s">
        <v>22</v>
      </c>
      <c s="1853" t="s">
        <v>22</v>
      </c>
      <c s="1853" t="s">
        <v>854</v>
      </c>
    </row>
    <row r="880" spans="1:9" ht="11.25" customHeight="1">
      <c r="A880" s="1853" t="s">
        <v>2247</v>
      </c>
      <c s="1853" t="s">
        <v>16</v>
      </c>
      <c s="1853" t="s">
        <v>4659</v>
      </c>
      <c s="1853" t="s">
        <v>4660</v>
      </c>
      <c s="1853" t="s">
        <v>4638</v>
      </c>
      <c s="1853" t="s">
        <v>51</v>
      </c>
      <c s="1853" t="s">
        <v>4661</v>
      </c>
      <c s="1853" t="s">
        <v>22</v>
      </c>
      <c s="1853" t="s">
        <v>854</v>
      </c>
    </row>
    <row r="881" spans="1:9" ht="11.25" customHeight="1">
      <c r="A881" s="1853" t="s">
        <v>2247</v>
      </c>
      <c s="1853" t="s">
        <v>16</v>
      </c>
      <c s="1853" t="s">
        <v>3434</v>
      </c>
      <c s="1853" t="s">
        <v>3435</v>
      </c>
      <c s="1853" t="s">
        <v>3436</v>
      </c>
      <c s="1853" t="s">
        <v>3437</v>
      </c>
      <c s="1853" t="s">
        <v>22</v>
      </c>
      <c s="1853" t="s">
        <v>22</v>
      </c>
      <c s="1853" t="s">
        <v>854</v>
      </c>
    </row>
    <row r="882" spans="1:9" ht="11.25" customHeight="1">
      <c r="A882" s="1853" t="s">
        <v>2247</v>
      </c>
      <c s="1853" t="s">
        <v>16</v>
      </c>
      <c s="1853" t="s">
        <v>4662</v>
      </c>
      <c s="1853" t="s">
        <v>4663</v>
      </c>
      <c s="1853" t="s">
        <v>4664</v>
      </c>
      <c s="1853" t="s">
        <v>2680</v>
      </c>
      <c s="1853" t="s">
        <v>22</v>
      </c>
      <c s="1853" t="s">
        <v>22</v>
      </c>
      <c s="1853" t="s">
        <v>854</v>
      </c>
    </row>
    <row r="883" spans="1:9" ht="11.25" customHeight="1">
      <c r="A883" s="1853" t="s">
        <v>2247</v>
      </c>
      <c s="1853" t="s">
        <v>16</v>
      </c>
      <c s="1853" t="s">
        <v>4665</v>
      </c>
      <c s="1853" t="s">
        <v>4666</v>
      </c>
      <c s="1853" t="s">
        <v>4667</v>
      </c>
      <c s="1853" t="s">
        <v>3146</v>
      </c>
      <c s="1853" t="s">
        <v>4668</v>
      </c>
      <c s="1853" t="s">
        <v>22</v>
      </c>
      <c s="1853" t="s">
        <v>854</v>
      </c>
    </row>
    <row r="884" spans="1:9" ht="11.25" customHeight="1">
      <c r="A884" s="1853" t="s">
        <v>2247</v>
      </c>
      <c s="1853" t="s">
        <v>16</v>
      </c>
      <c s="1853" t="s">
        <v>3453</v>
      </c>
      <c s="1853" t="s">
        <v>3454</v>
      </c>
      <c s="1853" t="s">
        <v>3455</v>
      </c>
      <c s="1853" t="s">
        <v>51</v>
      </c>
      <c s="1853" t="s">
        <v>3456</v>
      </c>
      <c s="1853" t="s">
        <v>22</v>
      </c>
      <c s="1853" t="s">
        <v>854</v>
      </c>
    </row>
    <row r="885" spans="1:9" ht="11.25" customHeight="1">
      <c r="A885" s="1853" t="s">
        <v>2247</v>
      </c>
      <c s="1853" t="s">
        <v>16</v>
      </c>
      <c s="1853" t="s">
        <v>4669</v>
      </c>
      <c s="1853" t="s">
        <v>4670</v>
      </c>
      <c s="1853" t="s">
        <v>4671</v>
      </c>
      <c s="1853" t="s">
        <v>3146</v>
      </c>
      <c s="1853" t="s">
        <v>4672</v>
      </c>
      <c s="1853" t="s">
        <v>22</v>
      </c>
      <c s="1853" t="s">
        <v>854</v>
      </c>
    </row>
    <row r="886" spans="1:9" ht="11.25" customHeight="1">
      <c r="A886" s="1853" t="s">
        <v>2247</v>
      </c>
      <c s="1853" t="s">
        <v>16</v>
      </c>
      <c s="1853" t="s">
        <v>4673</v>
      </c>
      <c s="1853" t="s">
        <v>4674</v>
      </c>
      <c s="1853" t="s">
        <v>4675</v>
      </c>
      <c s="1853" t="s">
        <v>2348</v>
      </c>
      <c s="1853" t="s">
        <v>22</v>
      </c>
      <c s="1853" t="s">
        <v>22</v>
      </c>
      <c s="1853" t="s">
        <v>854</v>
      </c>
    </row>
    <row r="887" spans="1:9" ht="11.25" customHeight="1">
      <c r="A887" s="1853" t="s">
        <v>2247</v>
      </c>
      <c s="1853" t="s">
        <v>16</v>
      </c>
      <c s="1853" t="s">
        <v>3464</v>
      </c>
      <c s="1853" t="s">
        <v>3465</v>
      </c>
      <c s="1853" t="s">
        <v>3466</v>
      </c>
      <c s="1853" t="s">
        <v>2348</v>
      </c>
      <c s="1853" t="s">
        <v>22</v>
      </c>
      <c s="1853" t="s">
        <v>22</v>
      </c>
      <c s="1853" t="s">
        <v>854</v>
      </c>
    </row>
    <row r="888" spans="1:9" ht="11.25" customHeight="1">
      <c r="A888" s="1853" t="s">
        <v>2247</v>
      </c>
      <c s="1853" t="s">
        <v>16</v>
      </c>
      <c s="1853" t="s">
        <v>3473</v>
      </c>
      <c s="1853" t="s">
        <v>3474</v>
      </c>
      <c s="1853" t="s">
        <v>3475</v>
      </c>
      <c s="1853" t="s">
        <v>2395</v>
      </c>
      <c s="1853" t="s">
        <v>3476</v>
      </c>
      <c s="1853" t="s">
        <v>22</v>
      </c>
      <c s="1853" t="s">
        <v>854</v>
      </c>
    </row>
    <row r="889" spans="1:9" ht="11.25" customHeight="1">
      <c r="A889" s="1853" t="s">
        <v>2247</v>
      </c>
      <c s="1853" t="s">
        <v>16</v>
      </c>
      <c s="1853" t="s">
        <v>4676</v>
      </c>
      <c s="1853" t="s">
        <v>4677</v>
      </c>
      <c s="1853" t="s">
        <v>4646</v>
      </c>
      <c s="1853" t="s">
        <v>4678</v>
      </c>
      <c s="1853" t="s">
        <v>22</v>
      </c>
      <c s="1853" t="s">
        <v>22</v>
      </c>
      <c s="1853" t="s">
        <v>854</v>
      </c>
    </row>
    <row r="890" spans="1:9" ht="11.25" customHeight="1">
      <c r="A890" s="1853" t="s">
        <v>2247</v>
      </c>
      <c s="1853" t="s">
        <v>16</v>
      </c>
      <c s="1853" t="s">
        <v>4679</v>
      </c>
      <c s="1853" t="s">
        <v>4680</v>
      </c>
      <c s="1853" t="s">
        <v>4646</v>
      </c>
      <c s="1853" t="s">
        <v>4681</v>
      </c>
      <c s="1853" t="s">
        <v>22</v>
      </c>
      <c s="1853" t="s">
        <v>22</v>
      </c>
      <c s="1853" t="s">
        <v>854</v>
      </c>
    </row>
    <row r="891" spans="1:9" ht="11.25" customHeight="1">
      <c r="A891" s="1853" t="s">
        <v>2247</v>
      </c>
      <c s="1853" t="s">
        <v>16</v>
      </c>
      <c s="1853" t="s">
        <v>3508</v>
      </c>
      <c s="1853" t="s">
        <v>3509</v>
      </c>
      <c s="1853" t="s">
        <v>2409</v>
      </c>
      <c s="1853" t="s">
        <v>2680</v>
      </c>
      <c s="1853" t="s">
        <v>22</v>
      </c>
      <c s="1853" t="s">
        <v>22</v>
      </c>
      <c s="1853" t="s">
        <v>854</v>
      </c>
    </row>
    <row r="892" spans="1:9" ht="11.25" customHeight="1">
      <c r="A892" s="1853" t="s">
        <v>2247</v>
      </c>
      <c s="1853" t="s">
        <v>16</v>
      </c>
      <c s="1853" t="s">
        <v>3510</v>
      </c>
      <c s="1853" t="s">
        <v>3511</v>
      </c>
      <c s="1853" t="s">
        <v>2409</v>
      </c>
      <c s="1853" t="s">
        <v>3512</v>
      </c>
      <c s="1853" t="s">
        <v>22</v>
      </c>
      <c s="1853" t="s">
        <v>22</v>
      </c>
      <c s="1853" t="s">
        <v>854</v>
      </c>
    </row>
    <row r="893" spans="1:9" ht="11.25" customHeight="1">
      <c r="A893" s="1853" t="s">
        <v>2247</v>
      </c>
      <c s="1853" t="s">
        <v>16</v>
      </c>
      <c s="1853" t="s">
        <v>3528</v>
      </c>
      <c s="1853" t="s">
        <v>3529</v>
      </c>
      <c s="1853" t="s">
        <v>3530</v>
      </c>
      <c s="1853" t="s">
        <v>3531</v>
      </c>
      <c s="1853" t="s">
        <v>22</v>
      </c>
      <c s="1853" t="s">
        <v>22</v>
      </c>
      <c s="1853" t="s">
        <v>854</v>
      </c>
    </row>
    <row r="894" spans="1:9" ht="11.25" customHeight="1">
      <c r="A894" s="1853" t="s">
        <v>2247</v>
      </c>
      <c s="1853" t="s">
        <v>16</v>
      </c>
      <c s="1853" t="s">
        <v>4682</v>
      </c>
      <c s="1853" t="s">
        <v>4683</v>
      </c>
      <c s="1853" t="s">
        <v>4684</v>
      </c>
      <c s="1853" t="s">
        <v>4685</v>
      </c>
      <c s="1853" t="s">
        <v>4686</v>
      </c>
      <c s="1853" t="s">
        <v>22</v>
      </c>
      <c s="1853" t="s">
        <v>854</v>
      </c>
    </row>
    <row r="895" spans="1:9" ht="11.25" customHeight="1">
      <c r="A895" s="1853" t="s">
        <v>2247</v>
      </c>
      <c s="1853" t="s">
        <v>16</v>
      </c>
      <c s="1853" t="s">
        <v>3567</v>
      </c>
      <c s="1853" t="s">
        <v>3568</v>
      </c>
      <c s="1853" t="s">
        <v>3569</v>
      </c>
      <c s="1853" t="s">
        <v>3570</v>
      </c>
      <c s="1853" t="s">
        <v>22</v>
      </c>
      <c s="1853" t="s">
        <v>22</v>
      </c>
      <c s="1853" t="s">
        <v>907</v>
      </c>
    </row>
    <row r="896" spans="1:9" ht="11.25" customHeight="1">
      <c r="A896" s="1853" t="s">
        <v>2247</v>
      </c>
      <c s="1853" t="s">
        <v>16</v>
      </c>
      <c s="1853" t="s">
        <v>3571</v>
      </c>
      <c s="1853" t="s">
        <v>3572</v>
      </c>
      <c s="1853" t="s">
        <v>3573</v>
      </c>
      <c s="1853" t="s">
        <v>2260</v>
      </c>
      <c s="1853" t="s">
        <v>3574</v>
      </c>
      <c s="1853" t="s">
        <v>22</v>
      </c>
      <c s="1853" t="s">
        <v>907</v>
      </c>
    </row>
    <row r="897" spans="1:9" ht="11.25" customHeight="1">
      <c r="A897" s="1853" t="s">
        <v>2247</v>
      </c>
      <c s="1853" t="s">
        <v>16</v>
      </c>
      <c s="1853" t="s">
        <v>4687</v>
      </c>
      <c s="1853" t="s">
        <v>4688</v>
      </c>
      <c s="1853" t="s">
        <v>4689</v>
      </c>
      <c s="1853" t="s">
        <v>2256</v>
      </c>
      <c s="1853" t="s">
        <v>4690</v>
      </c>
      <c s="1853" t="s">
        <v>22</v>
      </c>
      <c s="1853" t="s">
        <v>907</v>
      </c>
    </row>
    <row r="898" spans="1:9" ht="11.25" customHeight="1">
      <c r="A898" s="1853" t="s">
        <v>2247</v>
      </c>
      <c s="1853" t="s">
        <v>16</v>
      </c>
      <c s="1853" t="s">
        <v>2248</v>
      </c>
      <c s="1853" t="s">
        <v>2249</v>
      </c>
      <c s="1853" t="s">
        <v>2250</v>
      </c>
      <c s="1853" t="s">
        <v>2251</v>
      </c>
      <c s="1853" t="s">
        <v>2252</v>
      </c>
      <c s="1853" t="s">
        <v>22</v>
      </c>
      <c s="1853" t="s">
        <v>907</v>
      </c>
    </row>
    <row r="899" spans="1:9" ht="11.25" customHeight="1">
      <c r="A899" s="1853" t="s">
        <v>2247</v>
      </c>
      <c s="1853" t="s">
        <v>16</v>
      </c>
      <c s="1853" t="s">
        <v>3579</v>
      </c>
      <c s="1853" t="s">
        <v>3580</v>
      </c>
      <c s="1853" t="s">
        <v>3581</v>
      </c>
      <c s="1853" t="s">
        <v>2270</v>
      </c>
      <c s="1853" t="s">
        <v>22</v>
      </c>
      <c s="1853" t="s">
        <v>22</v>
      </c>
      <c s="1853" t="s">
        <v>907</v>
      </c>
    </row>
    <row r="900" spans="1:9" ht="11.25" customHeight="1">
      <c r="A900" s="1853" t="s">
        <v>2247</v>
      </c>
      <c s="1853" t="s">
        <v>16</v>
      </c>
      <c s="1853" t="s">
        <v>3582</v>
      </c>
      <c s="1853" t="s">
        <v>3583</v>
      </c>
      <c s="1853" t="s">
        <v>3584</v>
      </c>
      <c s="1853" t="s">
        <v>3585</v>
      </c>
      <c s="1853" t="s">
        <v>3586</v>
      </c>
      <c s="1853" t="s">
        <v>22</v>
      </c>
      <c s="1853" t="s">
        <v>907</v>
      </c>
    </row>
    <row r="901" spans="1:9" ht="11.25" customHeight="1">
      <c r="A901" s="1853" t="s">
        <v>2247</v>
      </c>
      <c s="1853" t="s">
        <v>16</v>
      </c>
      <c s="1853" t="s">
        <v>2257</v>
      </c>
      <c s="1853" t="s">
        <v>2258</v>
      </c>
      <c s="1853" t="s">
        <v>2259</v>
      </c>
      <c s="1853" t="s">
        <v>2260</v>
      </c>
      <c s="1853" t="s">
        <v>2261</v>
      </c>
      <c s="1853" t="s">
        <v>22</v>
      </c>
      <c s="1853" t="s">
        <v>907</v>
      </c>
    </row>
    <row r="902" spans="1:9" ht="11.25" customHeight="1">
      <c r="A902" s="1853" t="s">
        <v>2247</v>
      </c>
      <c s="1853" t="s">
        <v>16</v>
      </c>
      <c s="1853" t="s">
        <v>4691</v>
      </c>
      <c s="1853" t="s">
        <v>4692</v>
      </c>
      <c s="1853" t="s">
        <v>4693</v>
      </c>
      <c s="1853" t="s">
        <v>3187</v>
      </c>
      <c s="1853" t="s">
        <v>22</v>
      </c>
      <c s="1853" t="s">
        <v>22</v>
      </c>
      <c s="1853" t="s">
        <v>907</v>
      </c>
    </row>
    <row r="903" spans="1:9" ht="11.25" customHeight="1">
      <c r="A903" s="1853" t="s">
        <v>2247</v>
      </c>
      <c s="1853" t="s">
        <v>16</v>
      </c>
      <c s="1853" t="s">
        <v>3587</v>
      </c>
      <c s="1853" t="s">
        <v>3588</v>
      </c>
      <c s="1853" t="s">
        <v>3589</v>
      </c>
      <c s="1853" t="s">
        <v>3169</v>
      </c>
      <c s="1853" t="s">
        <v>3590</v>
      </c>
      <c s="1853" t="s">
        <v>22</v>
      </c>
      <c s="1853" t="s">
        <v>907</v>
      </c>
    </row>
    <row r="904" spans="1:9" ht="11.25" customHeight="1">
      <c r="A904" s="1853" t="s">
        <v>2247</v>
      </c>
      <c s="1853" t="s">
        <v>16</v>
      </c>
      <c s="1853" t="s">
        <v>3591</v>
      </c>
      <c s="1853" t="s">
        <v>3592</v>
      </c>
      <c s="1853" t="s">
        <v>3593</v>
      </c>
      <c s="1853" t="s">
        <v>2348</v>
      </c>
      <c s="1853" t="s">
        <v>22</v>
      </c>
      <c s="1853" t="s">
        <v>22</v>
      </c>
      <c s="1853" t="s">
        <v>907</v>
      </c>
    </row>
    <row r="905" spans="1:9" ht="11.25" customHeight="1">
      <c r="A905" s="1853" t="s">
        <v>2247</v>
      </c>
      <c s="1853" t="s">
        <v>16</v>
      </c>
      <c s="1853" t="s">
        <v>4694</v>
      </c>
      <c s="1853" t="s">
        <v>4695</v>
      </c>
      <c s="1853" t="s">
        <v>4696</v>
      </c>
      <c s="1853" t="s">
        <v>2551</v>
      </c>
      <c s="1853" t="s">
        <v>4697</v>
      </c>
      <c s="1853" t="s">
        <v>22</v>
      </c>
      <c s="1853" t="s">
        <v>907</v>
      </c>
    </row>
    <row r="906" spans="1:9" ht="11.25" customHeight="1">
      <c r="A906" s="1853" t="s">
        <v>2247</v>
      </c>
      <c s="1853" t="s">
        <v>16</v>
      </c>
      <c s="1853" t="s">
        <v>2287</v>
      </c>
      <c s="1853" t="s">
        <v>2288</v>
      </c>
      <c s="1853" t="s">
        <v>2289</v>
      </c>
      <c s="1853" t="s">
        <v>2290</v>
      </c>
      <c s="1853" t="s">
        <v>22</v>
      </c>
      <c s="1853" t="s">
        <v>22</v>
      </c>
      <c s="1853" t="s">
        <v>907</v>
      </c>
    </row>
    <row r="907" spans="1:9" ht="11.25" customHeight="1">
      <c r="A907" s="1853" t="s">
        <v>2247</v>
      </c>
      <c s="1853" t="s">
        <v>16</v>
      </c>
      <c s="1853" t="s">
        <v>3598</v>
      </c>
      <c s="1853" t="s">
        <v>3599</v>
      </c>
      <c s="1853" t="s">
        <v>3600</v>
      </c>
      <c s="1853" t="s">
        <v>51</v>
      </c>
      <c s="1853" t="s">
        <v>3601</v>
      </c>
      <c s="1853" t="s">
        <v>22</v>
      </c>
      <c s="1853" t="s">
        <v>907</v>
      </c>
    </row>
    <row r="908" spans="1:9" ht="11.25" customHeight="1">
      <c r="A908" s="1853" t="s">
        <v>2247</v>
      </c>
      <c s="1853" t="s">
        <v>16</v>
      </c>
      <c s="1853" t="s">
        <v>2305</v>
      </c>
      <c s="1853" t="s">
        <v>2306</v>
      </c>
      <c s="1853" t="s">
        <v>2307</v>
      </c>
      <c s="1853" t="s">
        <v>2251</v>
      </c>
      <c s="1853" t="s">
        <v>2308</v>
      </c>
      <c s="1853" t="s">
        <v>22</v>
      </c>
      <c s="1853" t="s">
        <v>907</v>
      </c>
    </row>
    <row r="909" spans="1:9" ht="11.25" customHeight="1">
      <c r="A909" s="1853" t="s">
        <v>2247</v>
      </c>
      <c s="1853" t="s">
        <v>16</v>
      </c>
      <c s="1853" t="s">
        <v>4698</v>
      </c>
      <c s="1853" t="s">
        <v>4699</v>
      </c>
      <c s="1853" t="s">
        <v>4700</v>
      </c>
      <c s="1853" t="s">
        <v>2693</v>
      </c>
      <c s="1853" t="s">
        <v>4701</v>
      </c>
      <c s="1853" t="s">
        <v>22</v>
      </c>
      <c s="1853" t="s">
        <v>907</v>
      </c>
    </row>
    <row r="910" spans="1:9" ht="11.25" customHeight="1">
      <c r="A910" s="1853" t="s">
        <v>2247</v>
      </c>
      <c s="1853" t="s">
        <v>16</v>
      </c>
      <c s="1853" t="s">
        <v>2316</v>
      </c>
      <c s="1853" t="s">
        <v>2317</v>
      </c>
      <c s="1853" t="s">
        <v>2318</v>
      </c>
      <c s="1853" t="s">
        <v>2319</v>
      </c>
      <c s="1853" t="s">
        <v>2320</v>
      </c>
      <c s="1853" t="s">
        <v>22</v>
      </c>
      <c s="1853" t="s">
        <v>907</v>
      </c>
    </row>
    <row r="911" spans="1:9" ht="11.25" customHeight="1">
      <c r="A911" s="1853" t="s">
        <v>2247</v>
      </c>
      <c s="1853" t="s">
        <v>16</v>
      </c>
      <c s="1853" t="s">
        <v>4702</v>
      </c>
      <c s="1853" t="s">
        <v>4703</v>
      </c>
      <c s="1853" t="s">
        <v>4704</v>
      </c>
      <c s="1853" t="s">
        <v>2348</v>
      </c>
      <c s="1853" t="s">
        <v>22</v>
      </c>
      <c s="1853" t="s">
        <v>22</v>
      </c>
      <c s="1853" t="s">
        <v>907</v>
      </c>
    </row>
    <row r="912" spans="1:9" ht="11.25" customHeight="1">
      <c r="A912" s="1853" t="s">
        <v>2247</v>
      </c>
      <c s="1853" t="s">
        <v>16</v>
      </c>
      <c s="1853" t="s">
        <v>2336</v>
      </c>
      <c s="1853" t="s">
        <v>2337</v>
      </c>
      <c s="1853" t="s">
        <v>2338</v>
      </c>
      <c s="1853" t="s">
        <v>2339</v>
      </c>
      <c s="1853" t="s">
        <v>2340</v>
      </c>
      <c s="1853" t="s">
        <v>22</v>
      </c>
      <c s="1853" t="s">
        <v>907</v>
      </c>
    </row>
    <row r="913" spans="1:9" ht="11.25" customHeight="1">
      <c r="A913" s="1853" t="s">
        <v>2247</v>
      </c>
      <c s="1853" t="s">
        <v>16</v>
      </c>
      <c s="1853" t="s">
        <v>3612</v>
      </c>
      <c s="1853" t="s">
        <v>3613</v>
      </c>
      <c s="1853" t="s">
        <v>3614</v>
      </c>
      <c s="1853" t="s">
        <v>3615</v>
      </c>
      <c s="1853" t="s">
        <v>3616</v>
      </c>
      <c s="1853" t="s">
        <v>22</v>
      </c>
      <c s="1853" t="s">
        <v>907</v>
      </c>
    </row>
    <row r="914" spans="1:9" ht="11.25" customHeight="1">
      <c r="A914" s="1853" t="s">
        <v>2247</v>
      </c>
      <c s="1853" t="s">
        <v>16</v>
      </c>
      <c s="1853" t="s">
        <v>2364</v>
      </c>
      <c s="1853" t="s">
        <v>2365</v>
      </c>
      <c s="1853" t="s">
        <v>2366</v>
      </c>
      <c s="1853" t="s">
        <v>2348</v>
      </c>
      <c s="1853" t="s">
        <v>22</v>
      </c>
      <c s="1853" t="s">
        <v>22</v>
      </c>
      <c s="1853" t="s">
        <v>907</v>
      </c>
    </row>
    <row r="915" spans="1:9" ht="11.25" customHeight="1">
      <c r="A915" s="1853" t="s">
        <v>2247</v>
      </c>
      <c s="1853" t="s">
        <v>16</v>
      </c>
      <c s="1853" t="s">
        <v>4705</v>
      </c>
      <c s="1853" t="s">
        <v>4706</v>
      </c>
      <c s="1853" t="s">
        <v>4707</v>
      </c>
      <c s="1853" t="s">
        <v>3615</v>
      </c>
      <c s="1853" t="s">
        <v>4708</v>
      </c>
      <c s="1853" t="s">
        <v>4709</v>
      </c>
      <c s="1853" t="s">
        <v>907</v>
      </c>
    </row>
    <row r="916" spans="1:9" ht="11.25" customHeight="1">
      <c r="A916" s="1853" t="s">
        <v>2247</v>
      </c>
      <c s="1853" t="s">
        <v>16</v>
      </c>
      <c s="1853" t="s">
        <v>3626</v>
      </c>
      <c s="1853" t="s">
        <v>3627</v>
      </c>
      <c s="1853" t="s">
        <v>3628</v>
      </c>
      <c s="1853" t="s">
        <v>3629</v>
      </c>
      <c s="1853" t="s">
        <v>22</v>
      </c>
      <c s="1853" t="s">
        <v>22</v>
      </c>
      <c s="1853" t="s">
        <v>907</v>
      </c>
    </row>
    <row r="917" spans="1:9" ht="11.25" customHeight="1">
      <c r="A917" s="1853" t="s">
        <v>2247</v>
      </c>
      <c s="1853" t="s">
        <v>16</v>
      </c>
      <c s="1853" t="s">
        <v>2407</v>
      </c>
      <c s="1853" t="s">
        <v>2408</v>
      </c>
      <c s="1853" t="s">
        <v>2409</v>
      </c>
      <c s="1853" t="s">
        <v>2294</v>
      </c>
      <c s="1853" t="s">
        <v>22</v>
      </c>
      <c s="1853" t="s">
        <v>22</v>
      </c>
      <c s="1853" t="s">
        <v>907</v>
      </c>
    </row>
    <row r="918" spans="1:9" ht="11.25" customHeight="1">
      <c r="A918" s="1853" t="s">
        <v>2247</v>
      </c>
      <c s="1853" t="s">
        <v>16</v>
      </c>
      <c s="1853" t="s">
        <v>3633</v>
      </c>
      <c s="1853" t="s">
        <v>3634</v>
      </c>
      <c s="1853" t="s">
        <v>3635</v>
      </c>
      <c s="1853" t="s">
        <v>2391</v>
      </c>
      <c s="1853" t="s">
        <v>3636</v>
      </c>
      <c s="1853" t="s">
        <v>22</v>
      </c>
      <c s="1853" t="s">
        <v>907</v>
      </c>
    </row>
    <row r="919" spans="1:9" ht="11.25" customHeight="1">
      <c r="A919" s="1853" t="s">
        <v>2247</v>
      </c>
      <c s="1853" t="s">
        <v>16</v>
      </c>
      <c s="1853" t="s">
        <v>2420</v>
      </c>
      <c s="1853" t="s">
        <v>2421</v>
      </c>
      <c s="1853" t="s">
        <v>2422</v>
      </c>
      <c s="1853" t="s">
        <v>2283</v>
      </c>
      <c s="1853" t="s">
        <v>22</v>
      </c>
      <c s="1853" t="s">
        <v>22</v>
      </c>
      <c s="1853" t="s">
        <v>907</v>
      </c>
    </row>
    <row r="920" spans="1:9" ht="11.25" customHeight="1">
      <c r="A920" s="1853" t="s">
        <v>2247</v>
      </c>
      <c s="1853" t="s">
        <v>16</v>
      </c>
      <c s="1853" t="s">
        <v>2423</v>
      </c>
      <c s="1853" t="s">
        <v>2424</v>
      </c>
      <c s="1853" t="s">
        <v>2425</v>
      </c>
      <c s="1853" t="s">
        <v>2260</v>
      </c>
      <c s="1853" t="s">
        <v>2426</v>
      </c>
      <c s="1853" t="s">
        <v>22</v>
      </c>
      <c s="1853" t="s">
        <v>907</v>
      </c>
    </row>
    <row r="921" spans="1:9" ht="11.25" customHeight="1">
      <c r="A921" s="1853" t="s">
        <v>2247</v>
      </c>
      <c s="1853" t="s">
        <v>16</v>
      </c>
      <c s="1853" t="s">
        <v>3640</v>
      </c>
      <c s="1853" t="s">
        <v>3641</v>
      </c>
      <c s="1853" t="s">
        <v>3642</v>
      </c>
      <c s="1853" t="s">
        <v>3643</v>
      </c>
      <c s="1853" t="s">
        <v>3644</v>
      </c>
      <c s="1853" t="s">
        <v>22</v>
      </c>
      <c s="1853" t="s">
        <v>907</v>
      </c>
    </row>
    <row r="922" spans="1:9" ht="11.25" customHeight="1">
      <c r="A922" s="1853" t="s">
        <v>2247</v>
      </c>
      <c s="1853" t="s">
        <v>16</v>
      </c>
      <c s="1853" t="s">
        <v>3645</v>
      </c>
      <c s="1853" t="s">
        <v>3646</v>
      </c>
      <c s="1853" t="s">
        <v>3647</v>
      </c>
      <c s="1853" t="s">
        <v>2675</v>
      </c>
      <c s="1853" t="s">
        <v>3648</v>
      </c>
      <c s="1853" t="s">
        <v>22</v>
      </c>
      <c s="1853" t="s">
        <v>907</v>
      </c>
    </row>
    <row r="923" spans="1:9" ht="11.25" customHeight="1">
      <c r="A923" s="1853" t="s">
        <v>2247</v>
      </c>
      <c s="1853" t="s">
        <v>16</v>
      </c>
      <c s="1853" t="s">
        <v>3649</v>
      </c>
      <c s="1853" t="s">
        <v>3650</v>
      </c>
      <c s="1853" t="s">
        <v>3651</v>
      </c>
      <c s="1853" t="s">
        <v>2260</v>
      </c>
      <c s="1853" t="s">
        <v>3574</v>
      </c>
      <c s="1853" t="s">
        <v>22</v>
      </c>
      <c s="1853" t="s">
        <v>907</v>
      </c>
    </row>
    <row r="924" spans="1:9" ht="11.25" customHeight="1">
      <c r="A924" s="1853" t="s">
        <v>2247</v>
      </c>
      <c s="1853" t="s">
        <v>16</v>
      </c>
      <c s="1853" t="s">
        <v>2439</v>
      </c>
      <c s="1853" t="s">
        <v>2440</v>
      </c>
      <c s="1853" t="s">
        <v>2441</v>
      </c>
      <c s="1853" t="s">
        <v>2442</v>
      </c>
      <c s="1853" t="s">
        <v>2443</v>
      </c>
      <c s="1853" t="s">
        <v>22</v>
      </c>
      <c s="1853" t="s">
        <v>907</v>
      </c>
    </row>
    <row r="925" spans="1:9" ht="11.25" customHeight="1">
      <c r="A925" s="1853" t="s">
        <v>2247</v>
      </c>
      <c s="1853" t="s">
        <v>16</v>
      </c>
      <c s="1853" t="s">
        <v>3652</v>
      </c>
      <c s="1853" t="s">
        <v>3653</v>
      </c>
      <c s="1853" t="s">
        <v>3654</v>
      </c>
      <c s="1853" t="s">
        <v>2260</v>
      </c>
      <c s="1853" t="s">
        <v>3574</v>
      </c>
      <c s="1853" t="s">
        <v>3655</v>
      </c>
      <c s="1853" t="s">
        <v>907</v>
      </c>
    </row>
    <row r="926" spans="1:9" ht="11.25" customHeight="1">
      <c r="A926" s="1853" t="s">
        <v>2247</v>
      </c>
      <c s="1853" t="s">
        <v>16</v>
      </c>
      <c s="1853" t="s">
        <v>4710</v>
      </c>
      <c s="1853" t="s">
        <v>4711</v>
      </c>
      <c s="1853" t="s">
        <v>4712</v>
      </c>
      <c s="1853" t="s">
        <v>2584</v>
      </c>
      <c s="1853" t="s">
        <v>22</v>
      </c>
      <c s="1853" t="s">
        <v>22</v>
      </c>
      <c s="1853" t="s">
        <v>907</v>
      </c>
    </row>
    <row r="927" spans="1:9" ht="11.25" customHeight="1">
      <c r="A927" s="1853" t="s">
        <v>2247</v>
      </c>
      <c s="1853" t="s">
        <v>16</v>
      </c>
      <c s="1853" t="s">
        <v>3660</v>
      </c>
      <c s="1853" t="s">
        <v>3661</v>
      </c>
      <c s="1853" t="s">
        <v>3662</v>
      </c>
      <c s="1853" t="s">
        <v>51</v>
      </c>
      <c s="1853" t="s">
        <v>3663</v>
      </c>
      <c s="1853" t="s">
        <v>22</v>
      </c>
      <c s="1853" t="s">
        <v>907</v>
      </c>
    </row>
    <row r="928" spans="1:9" ht="11.25" customHeight="1">
      <c r="A928" s="1853" t="s">
        <v>2247</v>
      </c>
      <c s="1853" t="s">
        <v>16</v>
      </c>
      <c s="1853" t="s">
        <v>2466</v>
      </c>
      <c s="1853" t="s">
        <v>2467</v>
      </c>
      <c s="1853" t="s">
        <v>2468</v>
      </c>
      <c s="1853" t="s">
        <v>2464</v>
      </c>
      <c s="1853" t="s">
        <v>2469</v>
      </c>
      <c s="1853" t="s">
        <v>22</v>
      </c>
      <c s="1853" t="s">
        <v>907</v>
      </c>
    </row>
    <row r="929" spans="1:9" ht="11.25" customHeight="1">
      <c r="A929" s="1853" t="s">
        <v>2247</v>
      </c>
      <c s="1853" t="s">
        <v>16</v>
      </c>
      <c s="1853" t="s">
        <v>13</v>
      </c>
      <c s="1853" t="s">
        <v>46</v>
      </c>
      <c s="1853" t="s">
        <v>49</v>
      </c>
      <c s="1853" t="s">
        <v>51</v>
      </c>
      <c s="1853" t="s">
        <v>3664</v>
      </c>
      <c s="1853" t="s">
        <v>22</v>
      </c>
      <c s="1853" t="s">
        <v>907</v>
      </c>
    </row>
    <row r="930" spans="1:9" ht="11.25" customHeight="1">
      <c r="A930" s="1853" t="s">
        <v>2247</v>
      </c>
      <c s="1853" t="s">
        <v>16</v>
      </c>
      <c s="1853" t="s">
        <v>3665</v>
      </c>
      <c s="1853" t="s">
        <v>3666</v>
      </c>
      <c s="1853" t="s">
        <v>3667</v>
      </c>
      <c s="1853" t="s">
        <v>2335</v>
      </c>
      <c s="1853" t="s">
        <v>22</v>
      </c>
      <c s="1853" t="s">
        <v>22</v>
      </c>
      <c s="1853" t="s">
        <v>907</v>
      </c>
    </row>
    <row r="931" spans="1:9" ht="11.25" customHeight="1">
      <c r="A931" s="1853" t="s">
        <v>2247</v>
      </c>
      <c s="1853" t="s">
        <v>16</v>
      </c>
      <c s="1853" t="s">
        <v>22</v>
      </c>
      <c s="1853" t="s">
        <v>2480</v>
      </c>
      <c s="1853" t="s">
        <v>2481</v>
      </c>
      <c s="1853" t="s">
        <v>2256</v>
      </c>
      <c s="1853" t="s">
        <v>22</v>
      </c>
      <c s="1853" t="s">
        <v>22</v>
      </c>
      <c s="1853" t="s">
        <v>907</v>
      </c>
    </row>
    <row r="932" spans="1:9" ht="11.25" customHeight="1">
      <c r="A932" s="1853" t="s">
        <v>2247</v>
      </c>
      <c s="1853" t="s">
        <v>16</v>
      </c>
      <c s="1853" t="s">
        <v>4713</v>
      </c>
      <c s="1853" t="s">
        <v>4714</v>
      </c>
      <c s="1853" t="s">
        <v>4715</v>
      </c>
      <c s="1853" t="s">
        <v>2391</v>
      </c>
      <c s="1853" t="s">
        <v>4716</v>
      </c>
      <c s="1853" t="s">
        <v>22</v>
      </c>
      <c s="1853" t="s">
        <v>907</v>
      </c>
    </row>
    <row r="933" spans="1:9" ht="11.25" customHeight="1">
      <c r="A933" s="1853" t="s">
        <v>2247</v>
      </c>
      <c s="1853" t="s">
        <v>16</v>
      </c>
      <c s="1853" t="s">
        <v>3678</v>
      </c>
      <c s="1853" t="s">
        <v>3679</v>
      </c>
      <c s="1853" t="s">
        <v>3680</v>
      </c>
      <c s="1853" t="s">
        <v>2391</v>
      </c>
      <c s="1853" t="s">
        <v>3681</v>
      </c>
      <c s="1853" t="s">
        <v>22</v>
      </c>
      <c s="1853" t="s">
        <v>907</v>
      </c>
    </row>
    <row r="934" spans="1:9" ht="11.25" customHeight="1">
      <c r="A934" s="1853" t="s">
        <v>2247</v>
      </c>
      <c s="1853" t="s">
        <v>16</v>
      </c>
      <c s="1853" t="s">
        <v>3689</v>
      </c>
      <c s="1853" t="s">
        <v>3690</v>
      </c>
      <c s="1853" t="s">
        <v>3691</v>
      </c>
      <c s="1853" t="s">
        <v>2680</v>
      </c>
      <c s="1853" t="s">
        <v>22</v>
      </c>
      <c s="1853" t="s">
        <v>22</v>
      </c>
      <c s="1853" t="s">
        <v>907</v>
      </c>
    </row>
    <row r="935" spans="1:9" ht="11.25" customHeight="1">
      <c r="A935" s="1853" t="s">
        <v>2247</v>
      </c>
      <c s="1853" t="s">
        <v>16</v>
      </c>
      <c s="1853" t="s">
        <v>3692</v>
      </c>
      <c s="1853" t="s">
        <v>3693</v>
      </c>
      <c s="1853" t="s">
        <v>3694</v>
      </c>
      <c s="1853" t="s">
        <v>3585</v>
      </c>
      <c s="1853" t="s">
        <v>3695</v>
      </c>
      <c s="1853" t="s">
        <v>22</v>
      </c>
      <c s="1853" t="s">
        <v>907</v>
      </c>
    </row>
    <row r="936" spans="1:9" ht="11.25" customHeight="1">
      <c r="A936" s="1853" t="s">
        <v>2247</v>
      </c>
      <c s="1853" t="s">
        <v>16</v>
      </c>
      <c s="1853" t="s">
        <v>2504</v>
      </c>
      <c s="1853" t="s">
        <v>2505</v>
      </c>
      <c s="1853" t="s">
        <v>2506</v>
      </c>
      <c s="1853" t="s">
        <v>2507</v>
      </c>
      <c s="1853" t="s">
        <v>2508</v>
      </c>
      <c s="1853" t="s">
        <v>22</v>
      </c>
      <c s="1853" t="s">
        <v>907</v>
      </c>
    </row>
    <row r="937" spans="1:9" ht="11.25" customHeight="1">
      <c r="A937" s="1853" t="s">
        <v>2247</v>
      </c>
      <c s="1853" t="s">
        <v>16</v>
      </c>
      <c s="1853" t="s">
        <v>4717</v>
      </c>
      <c s="1853" t="s">
        <v>4718</v>
      </c>
      <c s="1853" t="s">
        <v>4719</v>
      </c>
      <c s="1853" t="s">
        <v>3146</v>
      </c>
      <c s="1853" t="s">
        <v>22</v>
      </c>
      <c s="1853" t="s">
        <v>4720</v>
      </c>
      <c s="1853" t="s">
        <v>907</v>
      </c>
    </row>
    <row r="938" spans="1:9" ht="11.25" customHeight="1">
      <c r="A938" s="1853" t="s">
        <v>2247</v>
      </c>
      <c s="1853" t="s">
        <v>16</v>
      </c>
      <c s="1853" t="s">
        <v>3702</v>
      </c>
      <c s="1853" t="s">
        <v>3703</v>
      </c>
      <c s="1853" t="s">
        <v>3704</v>
      </c>
      <c s="1853" t="s">
        <v>2324</v>
      </c>
      <c s="1853" t="s">
        <v>3705</v>
      </c>
      <c s="1853" t="s">
        <v>22</v>
      </c>
      <c s="1853" t="s">
        <v>907</v>
      </c>
    </row>
    <row r="939" spans="1:9" ht="11.25" customHeight="1">
      <c r="A939" s="1853" t="s">
        <v>2247</v>
      </c>
      <c s="1853" t="s">
        <v>16</v>
      </c>
      <c s="1853" t="s">
        <v>4721</v>
      </c>
      <c s="1853" t="s">
        <v>4722</v>
      </c>
      <c s="1853" t="s">
        <v>4723</v>
      </c>
      <c s="1853" t="s">
        <v>575</v>
      </c>
      <c s="1853" t="s">
        <v>4724</v>
      </c>
      <c s="1853" t="s">
        <v>22</v>
      </c>
      <c s="1853" t="s">
        <v>907</v>
      </c>
    </row>
    <row r="940" spans="1:9" ht="11.25" customHeight="1">
      <c r="A940" s="1853" t="s">
        <v>2247</v>
      </c>
      <c s="1853" t="s">
        <v>16</v>
      </c>
      <c s="1853" t="s">
        <v>4725</v>
      </c>
      <c s="1853" t="s">
        <v>4726</v>
      </c>
      <c s="1853" t="s">
        <v>4727</v>
      </c>
      <c s="1853" t="s">
        <v>575</v>
      </c>
      <c s="1853" t="s">
        <v>4728</v>
      </c>
      <c s="1853" t="s">
        <v>22</v>
      </c>
      <c s="1853" t="s">
        <v>907</v>
      </c>
    </row>
    <row r="941" spans="1:9" ht="11.25" customHeight="1">
      <c r="A941" s="1853" t="s">
        <v>2247</v>
      </c>
      <c s="1853" t="s">
        <v>16</v>
      </c>
      <c s="1853" t="s">
        <v>4729</v>
      </c>
      <c s="1853" t="s">
        <v>4730</v>
      </c>
      <c s="1853" t="s">
        <v>4731</v>
      </c>
      <c s="1853" t="s">
        <v>575</v>
      </c>
      <c s="1853" t="s">
        <v>22</v>
      </c>
      <c s="1853" t="s">
        <v>22</v>
      </c>
      <c s="1853" t="s">
        <v>907</v>
      </c>
    </row>
    <row r="942" spans="1:9" ht="11.25" customHeight="1">
      <c r="A942" s="1853" t="s">
        <v>2247</v>
      </c>
      <c s="1853" t="s">
        <v>16</v>
      </c>
      <c s="1853" t="s">
        <v>3733</v>
      </c>
      <c s="1853" t="s">
        <v>3734</v>
      </c>
      <c s="1853" t="s">
        <v>3735</v>
      </c>
      <c s="1853" t="s">
        <v>2260</v>
      </c>
      <c s="1853" t="s">
        <v>3736</v>
      </c>
      <c s="1853" t="s">
        <v>22</v>
      </c>
      <c s="1853" t="s">
        <v>907</v>
      </c>
    </row>
    <row r="943" spans="1:9" ht="11.25" customHeight="1">
      <c r="A943" s="1853" t="s">
        <v>2247</v>
      </c>
      <c s="1853" t="s">
        <v>16</v>
      </c>
      <c s="1853" t="s">
        <v>3737</v>
      </c>
      <c s="1853" t="s">
        <v>3738</v>
      </c>
      <c s="1853" t="s">
        <v>3739</v>
      </c>
      <c s="1853" t="s">
        <v>3740</v>
      </c>
      <c s="1853" t="s">
        <v>22</v>
      </c>
      <c s="1853" t="s">
        <v>22</v>
      </c>
      <c s="1853" t="s">
        <v>907</v>
      </c>
    </row>
    <row r="944" spans="1:9" ht="11.25" customHeight="1">
      <c r="A944" s="1853" t="s">
        <v>2247</v>
      </c>
      <c s="1853" t="s">
        <v>16</v>
      </c>
      <c s="1853" t="s">
        <v>3741</v>
      </c>
      <c s="1853" t="s">
        <v>3742</v>
      </c>
      <c s="1853" t="s">
        <v>3743</v>
      </c>
      <c s="1853" t="s">
        <v>2260</v>
      </c>
      <c s="1853" t="s">
        <v>3574</v>
      </c>
      <c s="1853" t="s">
        <v>22</v>
      </c>
      <c s="1853" t="s">
        <v>907</v>
      </c>
    </row>
    <row r="945" spans="1:9" ht="11.25" customHeight="1">
      <c r="A945" s="1853" t="s">
        <v>2247</v>
      </c>
      <c s="1853" t="s">
        <v>16</v>
      </c>
      <c s="1853" t="s">
        <v>3744</v>
      </c>
      <c s="1853" t="s">
        <v>3745</v>
      </c>
      <c s="1853" t="s">
        <v>3746</v>
      </c>
      <c s="1853" t="s">
        <v>2708</v>
      </c>
      <c s="1853" t="s">
        <v>22</v>
      </c>
      <c s="1853" t="s">
        <v>22</v>
      </c>
      <c s="1853" t="s">
        <v>907</v>
      </c>
    </row>
    <row r="946" spans="1:9" ht="11.25" customHeight="1">
      <c r="A946" s="1853" t="s">
        <v>2247</v>
      </c>
      <c s="1853" t="s">
        <v>16</v>
      </c>
      <c s="1853" t="s">
        <v>3747</v>
      </c>
      <c s="1853" t="s">
        <v>3748</v>
      </c>
      <c s="1853" t="s">
        <v>3749</v>
      </c>
      <c s="1853" t="s">
        <v>2982</v>
      </c>
      <c s="1853" t="s">
        <v>3750</v>
      </c>
      <c s="1853" t="s">
        <v>22</v>
      </c>
      <c s="1853" t="s">
        <v>907</v>
      </c>
    </row>
    <row r="947" spans="1:9" ht="11.25" customHeight="1">
      <c r="A947" s="1853" t="s">
        <v>2247</v>
      </c>
      <c s="1853" t="s">
        <v>16</v>
      </c>
      <c s="1853" t="s">
        <v>4732</v>
      </c>
      <c s="1853" t="s">
        <v>4733</v>
      </c>
      <c s="1853" t="s">
        <v>4734</v>
      </c>
      <c s="1853" t="s">
        <v>3615</v>
      </c>
      <c s="1853" t="s">
        <v>4735</v>
      </c>
      <c s="1853" t="s">
        <v>22</v>
      </c>
      <c s="1853" t="s">
        <v>907</v>
      </c>
    </row>
    <row r="948" spans="1:9" ht="11.25" customHeight="1">
      <c r="A948" s="1853" t="s">
        <v>2247</v>
      </c>
      <c s="1853" t="s">
        <v>16</v>
      </c>
      <c s="1853" t="s">
        <v>3845</v>
      </c>
      <c s="1853" t="s">
        <v>3846</v>
      </c>
      <c s="1853" t="s">
        <v>3847</v>
      </c>
      <c s="1853" t="s">
        <v>2639</v>
      </c>
      <c s="1853" t="s">
        <v>3848</v>
      </c>
      <c s="1853" t="s">
        <v>22</v>
      </c>
      <c s="1853" t="s">
        <v>907</v>
      </c>
    </row>
    <row r="949" spans="1:9" ht="11.25" customHeight="1">
      <c r="A949" s="1853" t="s">
        <v>2247</v>
      </c>
      <c s="1853" t="s">
        <v>16</v>
      </c>
      <c s="1853" t="s">
        <v>3849</v>
      </c>
      <c s="1853" t="s">
        <v>3850</v>
      </c>
      <c s="1853" t="s">
        <v>3851</v>
      </c>
      <c s="1853" t="s">
        <v>2499</v>
      </c>
      <c s="1853" t="s">
        <v>3852</v>
      </c>
      <c s="1853" t="s">
        <v>22</v>
      </c>
      <c s="1853" t="s">
        <v>907</v>
      </c>
    </row>
    <row r="950" spans="1:9" ht="11.25" customHeight="1">
      <c r="A950" s="1853" t="s">
        <v>2247</v>
      </c>
      <c s="1853" t="s">
        <v>16</v>
      </c>
      <c s="1853" t="s">
        <v>2565</v>
      </c>
      <c s="1853" t="s">
        <v>2566</v>
      </c>
      <c s="1853" t="s">
        <v>2567</v>
      </c>
      <c s="1853" t="s">
        <v>2568</v>
      </c>
      <c s="1853" t="s">
        <v>22</v>
      </c>
      <c s="1853" t="s">
        <v>22</v>
      </c>
      <c s="1853" t="s">
        <v>907</v>
      </c>
    </row>
    <row r="951" spans="1:9" ht="11.25" customHeight="1">
      <c r="A951" s="1853" t="s">
        <v>2247</v>
      </c>
      <c s="1853" t="s">
        <v>16</v>
      </c>
      <c s="1853" t="s">
        <v>2569</v>
      </c>
      <c s="1853" t="s">
        <v>2570</v>
      </c>
      <c s="1853" t="s">
        <v>2571</v>
      </c>
      <c s="1853" t="s">
        <v>2283</v>
      </c>
      <c s="1853" t="s">
        <v>22</v>
      </c>
      <c s="1853" t="s">
        <v>22</v>
      </c>
      <c s="1853" t="s">
        <v>907</v>
      </c>
    </row>
    <row r="952" spans="1:9" ht="11.25" customHeight="1">
      <c r="A952" s="1853" t="s">
        <v>2247</v>
      </c>
      <c s="1853" t="s">
        <v>16</v>
      </c>
      <c s="1853" t="s">
        <v>2572</v>
      </c>
      <c s="1853" t="s">
        <v>2573</v>
      </c>
      <c s="1853" t="s">
        <v>2574</v>
      </c>
      <c s="1853" t="s">
        <v>2575</v>
      </c>
      <c s="1853" t="s">
        <v>22</v>
      </c>
      <c s="1853" t="s">
        <v>22</v>
      </c>
      <c s="1853" t="s">
        <v>907</v>
      </c>
    </row>
    <row r="953" spans="1:9" ht="11.25" customHeight="1">
      <c r="A953" s="1853" t="s">
        <v>2247</v>
      </c>
      <c s="1853" t="s">
        <v>16</v>
      </c>
      <c s="1853" t="s">
        <v>2581</v>
      </c>
      <c s="1853" t="s">
        <v>2582</v>
      </c>
      <c s="1853" t="s">
        <v>2583</v>
      </c>
      <c s="1853" t="s">
        <v>2584</v>
      </c>
      <c s="1853" t="s">
        <v>22</v>
      </c>
      <c s="1853" t="s">
        <v>22</v>
      </c>
      <c s="1853" t="s">
        <v>907</v>
      </c>
    </row>
    <row r="954" spans="1:9" ht="11.25" customHeight="1">
      <c r="A954" s="1853" t="s">
        <v>2247</v>
      </c>
      <c s="1853" t="s">
        <v>16</v>
      </c>
      <c s="1853" t="s">
        <v>3882</v>
      </c>
      <c s="1853" t="s">
        <v>3883</v>
      </c>
      <c s="1853" t="s">
        <v>3884</v>
      </c>
      <c s="1853" t="s">
        <v>2584</v>
      </c>
      <c s="1853" t="s">
        <v>22</v>
      </c>
      <c s="1853" t="s">
        <v>22</v>
      </c>
      <c s="1853" t="s">
        <v>907</v>
      </c>
    </row>
    <row r="955" spans="1:9" ht="11.25" customHeight="1">
      <c r="A955" s="1853" t="s">
        <v>2247</v>
      </c>
      <c s="1853" t="s">
        <v>16</v>
      </c>
      <c s="1853" t="s">
        <v>3885</v>
      </c>
      <c s="1853" t="s">
        <v>3886</v>
      </c>
      <c s="1853" t="s">
        <v>3887</v>
      </c>
      <c s="1853" t="s">
        <v>2260</v>
      </c>
      <c s="1853" t="s">
        <v>3574</v>
      </c>
      <c s="1853" t="s">
        <v>22</v>
      </c>
      <c s="1853" t="s">
        <v>907</v>
      </c>
    </row>
    <row r="956" spans="1:9" ht="11.25" customHeight="1">
      <c r="A956" s="1853" t="s">
        <v>2247</v>
      </c>
      <c s="1853" t="s">
        <v>16</v>
      </c>
      <c s="1853" t="s">
        <v>2590</v>
      </c>
      <c s="1853" t="s">
        <v>2591</v>
      </c>
      <c s="1853" t="s">
        <v>2592</v>
      </c>
      <c s="1853" t="s">
        <v>2503</v>
      </c>
      <c s="1853" t="s">
        <v>22</v>
      </c>
      <c s="1853" t="s">
        <v>22</v>
      </c>
      <c s="1853" t="s">
        <v>907</v>
      </c>
    </row>
    <row r="957" spans="1:9" ht="11.25" customHeight="1">
      <c r="A957" s="1853" t="s">
        <v>2247</v>
      </c>
      <c s="1853" t="s">
        <v>16</v>
      </c>
      <c s="1853" t="s">
        <v>3891</v>
      </c>
      <c s="1853" t="s">
        <v>3892</v>
      </c>
      <c s="1853" t="s">
        <v>3893</v>
      </c>
      <c s="1853" t="s">
        <v>2464</v>
      </c>
      <c s="1853" t="s">
        <v>3894</v>
      </c>
      <c s="1853" t="s">
        <v>22</v>
      </c>
      <c s="1853" t="s">
        <v>907</v>
      </c>
    </row>
    <row r="958" spans="1:9" ht="11.25" customHeight="1">
      <c r="A958" s="1853" t="s">
        <v>2247</v>
      </c>
      <c s="1853" t="s">
        <v>16</v>
      </c>
      <c s="1853" t="s">
        <v>3903</v>
      </c>
      <c s="1853" t="s">
        <v>3904</v>
      </c>
      <c s="1853" t="s">
        <v>3905</v>
      </c>
      <c s="1853" t="s">
        <v>2454</v>
      </c>
      <c s="1853" t="s">
        <v>3906</v>
      </c>
      <c s="1853" t="s">
        <v>22</v>
      </c>
      <c s="1853" t="s">
        <v>907</v>
      </c>
    </row>
    <row r="959" spans="1:9" ht="11.25" customHeight="1">
      <c r="A959" s="1853" t="s">
        <v>2247</v>
      </c>
      <c s="1853" t="s">
        <v>16</v>
      </c>
      <c s="1853" t="s">
        <v>3922</v>
      </c>
      <c s="1853" t="s">
        <v>3923</v>
      </c>
      <c s="1853" t="s">
        <v>3924</v>
      </c>
      <c s="1853" t="s">
        <v>2731</v>
      </c>
      <c s="1853" t="s">
        <v>3925</v>
      </c>
      <c s="1853" t="s">
        <v>22</v>
      </c>
      <c s="1853" t="s">
        <v>907</v>
      </c>
    </row>
    <row r="960" spans="1:9" ht="11.25" customHeight="1">
      <c r="A960" s="1853" t="s">
        <v>2247</v>
      </c>
      <c s="1853" t="s">
        <v>16</v>
      </c>
      <c s="1853" t="s">
        <v>3926</v>
      </c>
      <c s="1853" t="s">
        <v>3927</v>
      </c>
      <c s="1853" t="s">
        <v>3928</v>
      </c>
      <c s="1853" t="s">
        <v>3203</v>
      </c>
      <c s="1853" t="s">
        <v>22</v>
      </c>
      <c s="1853" t="s">
        <v>22</v>
      </c>
      <c s="1853" t="s">
        <v>907</v>
      </c>
    </row>
    <row r="961" spans="1:9" ht="11.25" customHeight="1">
      <c r="A961" s="1853" t="s">
        <v>2247</v>
      </c>
      <c s="1853" t="s">
        <v>16</v>
      </c>
      <c s="1853" t="s">
        <v>3933</v>
      </c>
      <c s="1853" t="s">
        <v>3934</v>
      </c>
      <c s="1853" t="s">
        <v>3935</v>
      </c>
      <c s="1853" t="s">
        <v>2328</v>
      </c>
      <c s="1853" t="s">
        <v>22</v>
      </c>
      <c s="1853" t="s">
        <v>22</v>
      </c>
      <c s="1853" t="s">
        <v>907</v>
      </c>
    </row>
    <row r="962" spans="1:9" ht="11.25" customHeight="1">
      <c r="A962" s="1853" t="s">
        <v>2247</v>
      </c>
      <c s="1853" t="s">
        <v>16</v>
      </c>
      <c s="1853" t="s">
        <v>3936</v>
      </c>
      <c s="1853" t="s">
        <v>3937</v>
      </c>
      <c s="1853" t="s">
        <v>3938</v>
      </c>
      <c s="1853" t="s">
        <v>2675</v>
      </c>
      <c s="1853" t="s">
        <v>3939</v>
      </c>
      <c s="1853" t="s">
        <v>22</v>
      </c>
      <c s="1853" t="s">
        <v>907</v>
      </c>
    </row>
    <row r="963" spans="1:9" ht="11.25" customHeight="1">
      <c r="A963" s="1853" t="s">
        <v>2247</v>
      </c>
      <c s="1853" t="s">
        <v>16</v>
      </c>
      <c s="1853" t="s">
        <v>3940</v>
      </c>
      <c s="1853" t="s">
        <v>3941</v>
      </c>
      <c s="1853" t="s">
        <v>3942</v>
      </c>
      <c s="1853" t="s">
        <v>2551</v>
      </c>
      <c s="1853" t="s">
        <v>3943</v>
      </c>
      <c s="1853" t="s">
        <v>22</v>
      </c>
      <c s="1853" t="s">
        <v>907</v>
      </c>
    </row>
    <row r="964" spans="1:9" ht="11.25" customHeight="1">
      <c r="A964" s="1853" t="s">
        <v>2247</v>
      </c>
      <c s="1853" t="s">
        <v>16</v>
      </c>
      <c s="1853" t="s">
        <v>3944</v>
      </c>
      <c s="1853" t="s">
        <v>3945</v>
      </c>
      <c s="1853" t="s">
        <v>3946</v>
      </c>
      <c s="1853" t="s">
        <v>2584</v>
      </c>
      <c s="1853" t="s">
        <v>22</v>
      </c>
      <c s="1853" t="s">
        <v>22</v>
      </c>
      <c s="1853" t="s">
        <v>907</v>
      </c>
    </row>
    <row r="965" spans="1:9" ht="11.25" customHeight="1">
      <c r="A965" s="1853" t="s">
        <v>2247</v>
      </c>
      <c s="1853" t="s">
        <v>16</v>
      </c>
      <c s="1853" t="s">
        <v>2597</v>
      </c>
      <c s="1853" t="s">
        <v>2598</v>
      </c>
      <c s="1853" t="s">
        <v>2599</v>
      </c>
      <c s="1853" t="s">
        <v>2260</v>
      </c>
      <c s="1853" t="s">
        <v>2600</v>
      </c>
      <c s="1853" t="s">
        <v>22</v>
      </c>
      <c s="1853" t="s">
        <v>907</v>
      </c>
    </row>
    <row r="966" spans="1:9" ht="11.25" customHeight="1">
      <c r="A966" s="1853" t="s">
        <v>2247</v>
      </c>
      <c s="1853" t="s">
        <v>16</v>
      </c>
      <c s="1853" t="s">
        <v>3951</v>
      </c>
      <c s="1853" t="s">
        <v>3952</v>
      </c>
      <c s="1853" t="s">
        <v>3953</v>
      </c>
      <c s="1853" t="s">
        <v>3954</v>
      </c>
      <c s="1853" t="s">
        <v>22</v>
      </c>
      <c s="1853" t="s">
        <v>22</v>
      </c>
      <c s="1853" t="s">
        <v>907</v>
      </c>
    </row>
    <row r="967" spans="1:9" ht="11.25" customHeight="1">
      <c r="A967" s="1853" t="s">
        <v>2247</v>
      </c>
      <c s="1853" t="s">
        <v>16</v>
      </c>
      <c s="1853" t="s">
        <v>2601</v>
      </c>
      <c s="1853" t="s">
        <v>2602</v>
      </c>
      <c s="1853" t="s">
        <v>2603</v>
      </c>
      <c s="1853" t="s">
        <v>2604</v>
      </c>
      <c s="1853" t="s">
        <v>2605</v>
      </c>
      <c s="1853" t="s">
        <v>22</v>
      </c>
      <c s="1853" t="s">
        <v>907</v>
      </c>
    </row>
    <row r="968" spans="1:9" ht="11.25" customHeight="1">
      <c r="A968" s="1853" t="s">
        <v>2247</v>
      </c>
      <c s="1853" t="s">
        <v>16</v>
      </c>
      <c s="1853" t="s">
        <v>3959</v>
      </c>
      <c s="1853" t="s">
        <v>3960</v>
      </c>
      <c s="1853" t="s">
        <v>3961</v>
      </c>
      <c s="1853" t="s">
        <v>2464</v>
      </c>
      <c s="1853" t="s">
        <v>3962</v>
      </c>
      <c s="1853" t="s">
        <v>22</v>
      </c>
      <c s="1853" t="s">
        <v>907</v>
      </c>
    </row>
    <row r="969" spans="1:9" ht="11.25" customHeight="1">
      <c r="A969" s="1853" t="s">
        <v>2247</v>
      </c>
      <c s="1853" t="s">
        <v>16</v>
      </c>
      <c s="1853" t="s">
        <v>2606</v>
      </c>
      <c s="1853" t="s">
        <v>2607</v>
      </c>
      <c s="1853" t="s">
        <v>2608</v>
      </c>
      <c s="1853" t="s">
        <v>2507</v>
      </c>
      <c s="1853" t="s">
        <v>2508</v>
      </c>
      <c s="1853" t="s">
        <v>22</v>
      </c>
      <c s="1853" t="s">
        <v>907</v>
      </c>
    </row>
    <row r="970" spans="1:9" ht="11.25" customHeight="1">
      <c r="A970" s="1853" t="s">
        <v>2247</v>
      </c>
      <c s="1853" t="s">
        <v>16</v>
      </c>
      <c s="1853" t="s">
        <v>2609</v>
      </c>
      <c s="1853" t="s">
        <v>2610</v>
      </c>
      <c s="1853" t="s">
        <v>2611</v>
      </c>
      <c s="1853" t="s">
        <v>2395</v>
      </c>
      <c s="1853" t="s">
        <v>2612</v>
      </c>
      <c s="1853" t="s">
        <v>22</v>
      </c>
      <c s="1853" t="s">
        <v>907</v>
      </c>
    </row>
    <row r="971" spans="1:9" ht="11.25" customHeight="1">
      <c r="A971" s="1853" t="s">
        <v>2247</v>
      </c>
      <c s="1853" t="s">
        <v>16</v>
      </c>
      <c s="1853" t="s">
        <v>2613</v>
      </c>
      <c s="1853" t="s">
        <v>2614</v>
      </c>
      <c s="1853" t="s">
        <v>2615</v>
      </c>
      <c s="1853" t="s">
        <v>2551</v>
      </c>
      <c s="1853" t="s">
        <v>2616</v>
      </c>
      <c s="1853" t="s">
        <v>22</v>
      </c>
      <c s="1853" t="s">
        <v>907</v>
      </c>
    </row>
    <row r="972" spans="1:9" ht="11.25" customHeight="1">
      <c r="A972" s="1853" t="s">
        <v>2247</v>
      </c>
      <c s="1853" t="s">
        <v>16</v>
      </c>
      <c s="1853" t="s">
        <v>2617</v>
      </c>
      <c s="1853" t="s">
        <v>2618</v>
      </c>
      <c s="1853" t="s">
        <v>2619</v>
      </c>
      <c s="1853" t="s">
        <v>2620</v>
      </c>
      <c s="1853" t="s">
        <v>2621</v>
      </c>
      <c s="1853" t="s">
        <v>22</v>
      </c>
      <c s="1853" t="s">
        <v>907</v>
      </c>
    </row>
    <row r="973" spans="1:9" ht="11.25" customHeight="1">
      <c r="A973" s="1853" t="s">
        <v>2247</v>
      </c>
      <c s="1853" t="s">
        <v>16</v>
      </c>
      <c s="1853" t="s">
        <v>3980</v>
      </c>
      <c s="1853" t="s">
        <v>3981</v>
      </c>
      <c s="1853" t="s">
        <v>3982</v>
      </c>
      <c s="1853" t="s">
        <v>2395</v>
      </c>
      <c s="1853" t="s">
        <v>3983</v>
      </c>
      <c s="1853" t="s">
        <v>22</v>
      </c>
      <c s="1853" t="s">
        <v>907</v>
      </c>
    </row>
    <row r="974" spans="1:9" ht="11.25" customHeight="1">
      <c r="A974" s="1853" t="s">
        <v>2247</v>
      </c>
      <c s="1853" t="s">
        <v>16</v>
      </c>
      <c s="1853" t="s">
        <v>3993</v>
      </c>
      <c s="1853" t="s">
        <v>3994</v>
      </c>
      <c s="1853" t="s">
        <v>3995</v>
      </c>
      <c s="1853" t="s">
        <v>2386</v>
      </c>
      <c s="1853" t="s">
        <v>22</v>
      </c>
      <c s="1853" t="s">
        <v>22</v>
      </c>
      <c s="1853" t="s">
        <v>907</v>
      </c>
    </row>
    <row r="975" spans="1:9" ht="11.25" customHeight="1">
      <c r="A975" s="1853" t="s">
        <v>2247</v>
      </c>
      <c s="1853" t="s">
        <v>16</v>
      </c>
      <c s="1853" t="s">
        <v>3996</v>
      </c>
      <c s="1853" t="s">
        <v>3997</v>
      </c>
      <c s="1853" t="s">
        <v>3998</v>
      </c>
      <c s="1853" t="s">
        <v>3615</v>
      </c>
      <c s="1853" t="s">
        <v>3999</v>
      </c>
      <c s="1853" t="s">
        <v>22</v>
      </c>
      <c s="1853" t="s">
        <v>907</v>
      </c>
    </row>
    <row r="976" spans="1:9" ht="11.25" customHeight="1">
      <c r="A976" s="1853" t="s">
        <v>2247</v>
      </c>
      <c s="1853" t="s">
        <v>16</v>
      </c>
      <c s="1853" t="s">
        <v>4736</v>
      </c>
      <c s="1853" t="s">
        <v>4737</v>
      </c>
      <c s="1853" t="s">
        <v>4738</v>
      </c>
      <c s="1853" t="s">
        <v>3615</v>
      </c>
      <c s="1853" t="s">
        <v>4739</v>
      </c>
      <c s="1853" t="s">
        <v>22</v>
      </c>
      <c s="1853" t="s">
        <v>907</v>
      </c>
    </row>
    <row r="977" spans="1:9" ht="11.25" customHeight="1">
      <c r="A977" s="1853" t="s">
        <v>2247</v>
      </c>
      <c s="1853" t="s">
        <v>16</v>
      </c>
      <c s="1853" t="s">
        <v>4000</v>
      </c>
      <c s="1853" t="s">
        <v>4001</v>
      </c>
      <c s="1853" t="s">
        <v>4002</v>
      </c>
      <c s="1853" t="s">
        <v>2639</v>
      </c>
      <c s="1853" t="s">
        <v>4003</v>
      </c>
      <c s="1853" t="s">
        <v>22</v>
      </c>
      <c s="1853" t="s">
        <v>907</v>
      </c>
    </row>
    <row r="978" spans="1:9" ht="11.25" customHeight="1">
      <c r="A978" s="1853" t="s">
        <v>2247</v>
      </c>
      <c s="1853" t="s">
        <v>16</v>
      </c>
      <c s="1853" t="s">
        <v>2622</v>
      </c>
      <c s="1853" t="s">
        <v>2623</v>
      </c>
      <c s="1853" t="s">
        <v>2624</v>
      </c>
      <c s="1853" t="s">
        <v>2604</v>
      </c>
      <c s="1853" t="s">
        <v>2625</v>
      </c>
      <c s="1853" t="s">
        <v>22</v>
      </c>
      <c s="1853" t="s">
        <v>907</v>
      </c>
    </row>
    <row r="979" spans="1:9" ht="11.25" customHeight="1">
      <c r="A979" s="1853" t="s">
        <v>2247</v>
      </c>
      <c s="1853" t="s">
        <v>16</v>
      </c>
      <c s="1853" t="s">
        <v>2626</v>
      </c>
      <c s="1853" t="s">
        <v>2627</v>
      </c>
      <c s="1853" t="s">
        <v>2628</v>
      </c>
      <c s="1853" t="s">
        <v>2579</v>
      </c>
      <c s="1853" t="s">
        <v>22</v>
      </c>
      <c s="1853" t="s">
        <v>22</v>
      </c>
      <c s="1853" t="s">
        <v>907</v>
      </c>
    </row>
    <row r="980" spans="1:9" ht="11.25" customHeight="1">
      <c r="A980" s="1853" t="s">
        <v>2247</v>
      </c>
      <c s="1853" t="s">
        <v>16</v>
      </c>
      <c s="1853" t="s">
        <v>4011</v>
      </c>
      <c s="1853" t="s">
        <v>4012</v>
      </c>
      <c s="1853" t="s">
        <v>4013</v>
      </c>
      <c s="1853" t="s">
        <v>2639</v>
      </c>
      <c s="1853" t="s">
        <v>4003</v>
      </c>
      <c s="1853" t="s">
        <v>22</v>
      </c>
      <c s="1853" t="s">
        <v>907</v>
      </c>
    </row>
    <row r="981" spans="1:9" ht="11.25" customHeight="1">
      <c r="A981" s="1853" t="s">
        <v>2247</v>
      </c>
      <c s="1853" t="s">
        <v>16</v>
      </c>
      <c s="1853" t="s">
        <v>4018</v>
      </c>
      <c s="1853" t="s">
        <v>4019</v>
      </c>
      <c s="1853" t="s">
        <v>4020</v>
      </c>
      <c s="1853" t="s">
        <v>3187</v>
      </c>
      <c s="1853" t="s">
        <v>22</v>
      </c>
      <c s="1853" t="s">
        <v>22</v>
      </c>
      <c s="1853" t="s">
        <v>907</v>
      </c>
    </row>
    <row r="982" spans="1:9" ht="11.25" customHeight="1">
      <c r="A982" s="1853" t="s">
        <v>2247</v>
      </c>
      <c s="1853" t="s">
        <v>16</v>
      </c>
      <c s="1853" t="s">
        <v>4033</v>
      </c>
      <c s="1853" t="s">
        <v>4034</v>
      </c>
      <c s="1853" t="s">
        <v>4035</v>
      </c>
      <c s="1853" t="s">
        <v>2588</v>
      </c>
      <c s="1853" t="s">
        <v>4036</v>
      </c>
      <c s="1853" t="s">
        <v>22</v>
      </c>
      <c s="1853" t="s">
        <v>907</v>
      </c>
    </row>
    <row r="983" spans="1:9" ht="11.25" customHeight="1">
      <c r="A983" s="1853" t="s">
        <v>2247</v>
      </c>
      <c s="1853" t="s">
        <v>16</v>
      </c>
      <c s="1853" t="s">
        <v>4041</v>
      </c>
      <c s="1853" t="s">
        <v>4042</v>
      </c>
      <c s="1853" t="s">
        <v>4043</v>
      </c>
      <c s="1853" t="s">
        <v>2499</v>
      </c>
      <c s="1853" t="s">
        <v>22</v>
      </c>
      <c s="1853" t="s">
        <v>22</v>
      </c>
      <c s="1853" t="s">
        <v>907</v>
      </c>
    </row>
    <row r="984" spans="1:9" ht="11.25" customHeight="1">
      <c r="A984" s="1853" t="s">
        <v>2247</v>
      </c>
      <c s="1853" t="s">
        <v>16</v>
      </c>
      <c s="1853" t="s">
        <v>4044</v>
      </c>
      <c s="1853" t="s">
        <v>4045</v>
      </c>
      <c s="1853" t="s">
        <v>4046</v>
      </c>
      <c s="1853" t="s">
        <v>2395</v>
      </c>
      <c s="1853" t="s">
        <v>22</v>
      </c>
      <c s="1853" t="s">
        <v>22</v>
      </c>
      <c s="1853" t="s">
        <v>907</v>
      </c>
    </row>
    <row r="985" spans="1:9" ht="11.25" customHeight="1">
      <c r="A985" s="1853" t="s">
        <v>2247</v>
      </c>
      <c s="1853" t="s">
        <v>16</v>
      </c>
      <c s="1853" t="s">
        <v>4047</v>
      </c>
      <c s="1853" t="s">
        <v>4048</v>
      </c>
      <c s="1853" t="s">
        <v>4049</v>
      </c>
      <c s="1853" t="s">
        <v>2395</v>
      </c>
      <c s="1853" t="s">
        <v>3555</v>
      </c>
      <c s="1853" t="s">
        <v>4050</v>
      </c>
      <c s="1853" t="s">
        <v>907</v>
      </c>
    </row>
    <row r="986" spans="1:9" ht="11.25" customHeight="1">
      <c r="A986" s="1853" t="s">
        <v>2247</v>
      </c>
      <c s="1853" t="s">
        <v>16</v>
      </c>
      <c s="1853" t="s">
        <v>4096</v>
      </c>
      <c s="1853" t="s">
        <v>4097</v>
      </c>
      <c s="1853" t="s">
        <v>4098</v>
      </c>
      <c s="1853" t="s">
        <v>2588</v>
      </c>
      <c s="1853" t="s">
        <v>4099</v>
      </c>
      <c s="1853" t="s">
        <v>22</v>
      </c>
      <c s="1853" t="s">
        <v>907</v>
      </c>
    </row>
    <row r="987" spans="1:9" ht="11.25" customHeight="1">
      <c r="A987" s="1853" t="s">
        <v>2247</v>
      </c>
      <c s="1853" t="s">
        <v>16</v>
      </c>
      <c s="1853" t="s">
        <v>4100</v>
      </c>
      <c s="1853" t="s">
        <v>4101</v>
      </c>
      <c s="1853" t="s">
        <v>4102</v>
      </c>
      <c s="1853" t="s">
        <v>2395</v>
      </c>
      <c s="1853" t="s">
        <v>4103</v>
      </c>
      <c s="1853" t="s">
        <v>22</v>
      </c>
      <c s="1853" t="s">
        <v>907</v>
      </c>
    </row>
    <row r="988" spans="1:9" ht="11.25" customHeight="1">
      <c r="A988" s="1853" t="s">
        <v>2247</v>
      </c>
      <c s="1853" t="s">
        <v>16</v>
      </c>
      <c s="1853" t="s">
        <v>4104</v>
      </c>
      <c s="1853" t="s">
        <v>4105</v>
      </c>
      <c s="1853" t="s">
        <v>4106</v>
      </c>
      <c s="1853" t="s">
        <v>2568</v>
      </c>
      <c s="1853" t="s">
        <v>22</v>
      </c>
      <c s="1853" t="s">
        <v>22</v>
      </c>
      <c s="1853" t="s">
        <v>907</v>
      </c>
    </row>
    <row r="989" spans="1:9" ht="11.25" customHeight="1">
      <c r="A989" s="1853" t="s">
        <v>2247</v>
      </c>
      <c s="1853" t="s">
        <v>16</v>
      </c>
      <c s="1853" t="s">
        <v>4111</v>
      </c>
      <c s="1853" t="s">
        <v>4112</v>
      </c>
      <c s="1853" t="s">
        <v>4113</v>
      </c>
      <c s="1853" t="s">
        <v>2499</v>
      </c>
      <c s="1853" t="s">
        <v>4114</v>
      </c>
      <c s="1853" t="s">
        <v>22</v>
      </c>
      <c s="1853" t="s">
        <v>907</v>
      </c>
    </row>
    <row r="990" spans="1:9" ht="11.25" customHeight="1">
      <c r="A990" s="1853" t="s">
        <v>2247</v>
      </c>
      <c s="1853" t="s">
        <v>16</v>
      </c>
      <c s="1853" t="s">
        <v>4115</v>
      </c>
      <c s="1853" t="s">
        <v>4116</v>
      </c>
      <c s="1853" t="s">
        <v>4117</v>
      </c>
      <c s="1853" t="s">
        <v>3615</v>
      </c>
      <c s="1853" t="s">
        <v>4118</v>
      </c>
      <c s="1853" t="s">
        <v>22</v>
      </c>
      <c s="1853" t="s">
        <v>907</v>
      </c>
    </row>
    <row r="991" spans="1:9" ht="11.25" customHeight="1">
      <c r="A991" s="1853" t="s">
        <v>2247</v>
      </c>
      <c s="1853" t="s">
        <v>16</v>
      </c>
      <c s="1853" t="s">
        <v>2656</v>
      </c>
      <c s="1853" t="s">
        <v>2657</v>
      </c>
      <c s="1853" t="s">
        <v>2658</v>
      </c>
      <c s="1853" t="s">
        <v>2659</v>
      </c>
      <c s="1853" t="s">
        <v>2660</v>
      </c>
      <c s="1853" t="s">
        <v>22</v>
      </c>
      <c s="1853" t="s">
        <v>907</v>
      </c>
    </row>
    <row r="992" spans="1:9" ht="11.25" customHeight="1">
      <c r="A992" s="1853" t="s">
        <v>2247</v>
      </c>
      <c s="1853" t="s">
        <v>16</v>
      </c>
      <c s="1853" t="s">
        <v>2694</v>
      </c>
      <c s="1853" t="s">
        <v>2695</v>
      </c>
      <c s="1853" t="s">
        <v>2696</v>
      </c>
      <c s="1853" t="s">
        <v>2464</v>
      </c>
      <c s="1853" t="s">
        <v>2697</v>
      </c>
      <c s="1853" t="s">
        <v>22</v>
      </c>
      <c s="1853" t="s">
        <v>907</v>
      </c>
    </row>
    <row r="993" spans="1:9" ht="11.25" customHeight="1">
      <c r="A993" s="1853" t="s">
        <v>2247</v>
      </c>
      <c s="1853" t="s">
        <v>16</v>
      </c>
      <c s="1853" t="s">
        <v>4131</v>
      </c>
      <c s="1853" t="s">
        <v>4132</v>
      </c>
      <c s="1853" t="s">
        <v>4133</v>
      </c>
      <c s="1853" t="s">
        <v>3234</v>
      </c>
      <c s="1853" t="s">
        <v>4134</v>
      </c>
      <c s="1853" t="s">
        <v>22</v>
      </c>
      <c s="1853" t="s">
        <v>907</v>
      </c>
    </row>
    <row r="994" spans="1:9" ht="11.25" customHeight="1">
      <c r="A994" s="1853" t="s">
        <v>2247</v>
      </c>
      <c s="1853" t="s">
        <v>16</v>
      </c>
      <c s="1853" t="s">
        <v>2702</v>
      </c>
      <c s="1853" t="s">
        <v>2703</v>
      </c>
      <c s="1853" t="s">
        <v>2704</v>
      </c>
      <c s="1853" t="s">
        <v>2568</v>
      </c>
      <c s="1853" t="s">
        <v>22</v>
      </c>
      <c s="1853" t="s">
        <v>22</v>
      </c>
      <c s="1853" t="s">
        <v>907</v>
      </c>
    </row>
    <row r="995" spans="1:9" ht="11.25" customHeight="1">
      <c r="A995" s="1853" t="s">
        <v>2247</v>
      </c>
      <c s="1853" t="s">
        <v>16</v>
      </c>
      <c s="1853" t="s">
        <v>4154</v>
      </c>
      <c s="1853" t="s">
        <v>4155</v>
      </c>
      <c s="1853" t="s">
        <v>4156</v>
      </c>
      <c s="1853" t="s">
        <v>2620</v>
      </c>
      <c s="1853" t="s">
        <v>4157</v>
      </c>
      <c s="1853" t="s">
        <v>22</v>
      </c>
      <c s="1853" t="s">
        <v>907</v>
      </c>
    </row>
    <row r="996" spans="1:9" ht="11.25" customHeight="1">
      <c r="A996" s="1853" t="s">
        <v>2247</v>
      </c>
      <c s="1853" t="s">
        <v>16</v>
      </c>
      <c s="1853" t="s">
        <v>4166</v>
      </c>
      <c s="1853" t="s">
        <v>4167</v>
      </c>
      <c s="1853" t="s">
        <v>4168</v>
      </c>
      <c s="1853" t="s">
        <v>51</v>
      </c>
      <c s="1853" t="s">
        <v>4169</v>
      </c>
      <c s="1853" t="s">
        <v>22</v>
      </c>
      <c s="1853" t="s">
        <v>907</v>
      </c>
    </row>
    <row r="997" spans="1:9" ht="11.25" customHeight="1">
      <c r="A997" s="1853" t="s">
        <v>2247</v>
      </c>
      <c s="1853" t="s">
        <v>16</v>
      </c>
      <c s="1853" t="s">
        <v>4185</v>
      </c>
      <c s="1853" t="s">
        <v>4186</v>
      </c>
      <c s="1853" t="s">
        <v>4187</v>
      </c>
      <c s="1853" t="s">
        <v>2251</v>
      </c>
      <c s="1853" t="s">
        <v>4188</v>
      </c>
      <c s="1853" t="s">
        <v>22</v>
      </c>
      <c s="1853" t="s">
        <v>907</v>
      </c>
    </row>
    <row r="998" spans="1:9" ht="11.25" customHeight="1">
      <c r="A998" s="1853" t="s">
        <v>2247</v>
      </c>
      <c s="1853" t="s">
        <v>16</v>
      </c>
      <c s="1853" t="s">
        <v>4189</v>
      </c>
      <c s="1853" t="s">
        <v>4190</v>
      </c>
      <c s="1853" t="s">
        <v>4191</v>
      </c>
      <c s="1853" t="s">
        <v>2982</v>
      </c>
      <c s="1853" t="s">
        <v>4192</v>
      </c>
      <c s="1853" t="s">
        <v>22</v>
      </c>
      <c s="1853" t="s">
        <v>907</v>
      </c>
    </row>
    <row r="999" spans="1:9" ht="11.25" customHeight="1">
      <c r="A999" s="1853" t="s">
        <v>2247</v>
      </c>
      <c s="1853" t="s">
        <v>16</v>
      </c>
      <c s="1853" t="s">
        <v>4224</v>
      </c>
      <c s="1853" t="s">
        <v>4225</v>
      </c>
      <c s="1853" t="s">
        <v>4226</v>
      </c>
      <c s="1853" t="s">
        <v>2982</v>
      </c>
      <c s="1853" t="s">
        <v>4227</v>
      </c>
      <c s="1853" t="s">
        <v>22</v>
      </c>
      <c s="1853" t="s">
        <v>907</v>
      </c>
    </row>
    <row r="1000" spans="1:9" ht="11.25" customHeight="1">
      <c r="A1000" s="1853" t="s">
        <v>2247</v>
      </c>
      <c s="1853" t="s">
        <v>16</v>
      </c>
      <c s="1853" t="s">
        <v>4228</v>
      </c>
      <c s="1853" t="s">
        <v>4229</v>
      </c>
      <c s="1853" t="s">
        <v>4230</v>
      </c>
      <c s="1853" t="s">
        <v>2982</v>
      </c>
      <c s="1853" t="s">
        <v>4231</v>
      </c>
      <c s="1853" t="s">
        <v>22</v>
      </c>
      <c s="1853" t="s">
        <v>907</v>
      </c>
    </row>
    <row r="1001" spans="1:9" ht="11.25" customHeight="1">
      <c r="A1001" s="1853" t="s">
        <v>2247</v>
      </c>
      <c s="1853" t="s">
        <v>16</v>
      </c>
      <c s="1853" t="s">
        <v>4236</v>
      </c>
      <c s="1853" t="s">
        <v>4237</v>
      </c>
      <c s="1853" t="s">
        <v>4238</v>
      </c>
      <c s="1853" t="s">
        <v>2386</v>
      </c>
      <c s="1853" t="s">
        <v>22</v>
      </c>
      <c s="1853" t="s">
        <v>22</v>
      </c>
      <c s="1853" t="s">
        <v>907</v>
      </c>
    </row>
    <row r="1002" spans="1:9" ht="11.25" customHeight="1">
      <c r="A1002" s="1853" t="s">
        <v>2247</v>
      </c>
      <c s="1853" t="s">
        <v>16</v>
      </c>
      <c s="1853" t="s">
        <v>4239</v>
      </c>
      <c s="1853" t="s">
        <v>4240</v>
      </c>
      <c s="1853" t="s">
        <v>4241</v>
      </c>
      <c s="1853" t="s">
        <v>2693</v>
      </c>
      <c s="1853" t="s">
        <v>4242</v>
      </c>
      <c s="1853" t="s">
        <v>22</v>
      </c>
      <c s="1853" t="s">
        <v>907</v>
      </c>
    </row>
    <row r="1003" spans="1:9" ht="11.25" customHeight="1">
      <c r="A1003" s="1853" t="s">
        <v>2247</v>
      </c>
      <c s="1853" t="s">
        <v>16</v>
      </c>
      <c s="1853" t="s">
        <v>2733</v>
      </c>
      <c s="1853" t="s">
        <v>2734</v>
      </c>
      <c s="1853" t="s">
        <v>2735</v>
      </c>
      <c s="1853" t="s">
        <v>2370</v>
      </c>
      <c s="1853" t="s">
        <v>22</v>
      </c>
      <c s="1853" t="s">
        <v>22</v>
      </c>
      <c s="1853" t="s">
        <v>907</v>
      </c>
    </row>
    <row r="1004" spans="1:9" ht="11.25" customHeight="1">
      <c r="A1004" s="1853" t="s">
        <v>2247</v>
      </c>
      <c s="1853" t="s">
        <v>16</v>
      </c>
      <c s="1853" t="s">
        <v>2736</v>
      </c>
      <c s="1853" t="s">
        <v>2737</v>
      </c>
      <c s="1853" t="s">
        <v>2738</v>
      </c>
      <c s="1853" t="s">
        <v>2386</v>
      </c>
      <c s="1853" t="s">
        <v>22</v>
      </c>
      <c s="1853" t="s">
        <v>22</v>
      </c>
      <c s="1853" t="s">
        <v>907</v>
      </c>
    </row>
    <row r="1005" spans="1:9" ht="11.25" customHeight="1">
      <c r="A1005" s="1853" t="s">
        <v>2247</v>
      </c>
      <c s="1853" t="s">
        <v>16</v>
      </c>
      <c s="1853" t="s">
        <v>4250</v>
      </c>
      <c s="1853" t="s">
        <v>4251</v>
      </c>
      <c s="1853" t="s">
        <v>4252</v>
      </c>
      <c s="1853" t="s">
        <v>2265</v>
      </c>
      <c s="1853" t="s">
        <v>22</v>
      </c>
      <c s="1853" t="s">
        <v>22</v>
      </c>
      <c s="1853" t="s">
        <v>907</v>
      </c>
    </row>
    <row r="1006" spans="1:9" ht="11.25" customHeight="1">
      <c r="A1006" s="1853" t="s">
        <v>2247</v>
      </c>
      <c s="1853" t="s">
        <v>16</v>
      </c>
      <c s="1853" t="s">
        <v>4253</v>
      </c>
      <c s="1853" t="s">
        <v>4254</v>
      </c>
      <c s="1853" t="s">
        <v>4255</v>
      </c>
      <c s="1853" t="s">
        <v>2386</v>
      </c>
      <c s="1853" t="s">
        <v>22</v>
      </c>
      <c s="1853" t="s">
        <v>22</v>
      </c>
      <c s="1853" t="s">
        <v>907</v>
      </c>
    </row>
    <row r="1007" spans="1:9" ht="11.25" customHeight="1">
      <c r="A1007" s="1853" t="s">
        <v>2247</v>
      </c>
      <c s="1853" t="s">
        <v>16</v>
      </c>
      <c s="1853" t="s">
        <v>2743</v>
      </c>
      <c s="1853" t="s">
        <v>2744</v>
      </c>
      <c s="1853" t="s">
        <v>2745</v>
      </c>
      <c s="1853" t="s">
        <v>2716</v>
      </c>
      <c s="1853" t="s">
        <v>2746</v>
      </c>
      <c s="1853" t="s">
        <v>22</v>
      </c>
      <c s="1853" t="s">
        <v>907</v>
      </c>
    </row>
    <row r="1008" spans="1:9" ht="11.25" customHeight="1">
      <c r="A1008" s="1853" t="s">
        <v>2247</v>
      </c>
      <c s="1853" t="s">
        <v>16</v>
      </c>
      <c s="1853" t="s">
        <v>2747</v>
      </c>
      <c s="1853" t="s">
        <v>2748</v>
      </c>
      <c s="1853" t="s">
        <v>2749</v>
      </c>
      <c s="1853" t="s">
        <v>2659</v>
      </c>
      <c s="1853" t="s">
        <v>2750</v>
      </c>
      <c s="1853" t="s">
        <v>22</v>
      </c>
      <c s="1853" t="s">
        <v>907</v>
      </c>
    </row>
    <row r="1009" spans="1:9" ht="11.25" customHeight="1">
      <c r="A1009" s="1853" t="s">
        <v>2247</v>
      </c>
      <c s="1853" t="s">
        <v>16</v>
      </c>
      <c s="1853" t="s">
        <v>4259</v>
      </c>
      <c s="1853" t="s">
        <v>4260</v>
      </c>
      <c s="1853" t="s">
        <v>4261</v>
      </c>
      <c s="1853" t="s">
        <v>2319</v>
      </c>
      <c s="1853" t="s">
        <v>4130</v>
      </c>
      <c s="1853" t="s">
        <v>22</v>
      </c>
      <c s="1853" t="s">
        <v>907</v>
      </c>
    </row>
    <row r="1010" spans="1:9" ht="11.25" customHeight="1">
      <c r="A1010" s="1853" t="s">
        <v>2247</v>
      </c>
      <c s="1853" t="s">
        <v>16</v>
      </c>
      <c s="1853" t="s">
        <v>4262</v>
      </c>
      <c s="1853" t="s">
        <v>4263</v>
      </c>
      <c s="1853" t="s">
        <v>4264</v>
      </c>
      <c s="1853" t="s">
        <v>3615</v>
      </c>
      <c s="1853" t="s">
        <v>4265</v>
      </c>
      <c s="1853" t="s">
        <v>22</v>
      </c>
      <c s="1853" t="s">
        <v>907</v>
      </c>
    </row>
    <row r="1011" spans="1:9" ht="11.25" customHeight="1">
      <c r="A1011" s="1853" t="s">
        <v>2247</v>
      </c>
      <c s="1853" t="s">
        <v>16</v>
      </c>
      <c s="1853" t="s">
        <v>2751</v>
      </c>
      <c s="1853" t="s">
        <v>2752</v>
      </c>
      <c s="1853" t="s">
        <v>2753</v>
      </c>
      <c s="1853" t="s">
        <v>2395</v>
      </c>
      <c s="1853" t="s">
        <v>22</v>
      </c>
      <c s="1853" t="s">
        <v>22</v>
      </c>
      <c s="1853" t="s">
        <v>907</v>
      </c>
    </row>
    <row r="1012" spans="1:9" ht="11.25" customHeight="1">
      <c r="A1012" s="1853" t="s">
        <v>2247</v>
      </c>
      <c s="1853" t="s">
        <v>16</v>
      </c>
      <c s="1853" t="s">
        <v>4274</v>
      </c>
      <c s="1853" t="s">
        <v>4275</v>
      </c>
      <c s="1853" t="s">
        <v>4276</v>
      </c>
      <c s="1853" t="s">
        <v>2489</v>
      </c>
      <c s="1853" t="s">
        <v>22</v>
      </c>
      <c s="1853" t="s">
        <v>22</v>
      </c>
      <c s="1853" t="s">
        <v>907</v>
      </c>
    </row>
    <row r="1013" spans="1:9" ht="11.25" customHeight="1">
      <c r="A1013" s="1853" t="s">
        <v>2247</v>
      </c>
      <c s="1853" t="s">
        <v>16</v>
      </c>
      <c s="1853" t="s">
        <v>4740</v>
      </c>
      <c s="1853" t="s">
        <v>4741</v>
      </c>
      <c s="1853" t="s">
        <v>4742</v>
      </c>
      <c s="1853" t="s">
        <v>2370</v>
      </c>
      <c s="1853" t="s">
        <v>4743</v>
      </c>
      <c s="1853" t="s">
        <v>22</v>
      </c>
      <c s="1853" t="s">
        <v>907</v>
      </c>
    </row>
    <row r="1014" spans="1:9" ht="11.25" customHeight="1">
      <c r="A1014" s="1853" t="s">
        <v>2247</v>
      </c>
      <c s="1853" t="s">
        <v>16</v>
      </c>
      <c s="1853" t="s">
        <v>4277</v>
      </c>
      <c s="1853" t="s">
        <v>4278</v>
      </c>
      <c s="1853" t="s">
        <v>4279</v>
      </c>
      <c s="1853" t="s">
        <v>2680</v>
      </c>
      <c s="1853" t="s">
        <v>22</v>
      </c>
      <c s="1853" t="s">
        <v>22</v>
      </c>
      <c s="1853" t="s">
        <v>907</v>
      </c>
    </row>
    <row r="1015" spans="1:9" ht="11.25" customHeight="1">
      <c r="A1015" s="1853" t="s">
        <v>2247</v>
      </c>
      <c s="1853" t="s">
        <v>16</v>
      </c>
      <c s="1853" t="s">
        <v>2757</v>
      </c>
      <c s="1853" t="s">
        <v>2758</v>
      </c>
      <c s="1853" t="s">
        <v>2759</v>
      </c>
      <c s="1853" t="s">
        <v>51</v>
      </c>
      <c s="1853" t="s">
        <v>2760</v>
      </c>
      <c s="1853" t="s">
        <v>22</v>
      </c>
      <c s="1853" t="s">
        <v>907</v>
      </c>
    </row>
    <row r="1016" spans="1:9" ht="11.25" customHeight="1">
      <c r="A1016" s="1853" t="s">
        <v>2247</v>
      </c>
      <c s="1853" t="s">
        <v>16</v>
      </c>
      <c s="1853" t="s">
        <v>2774</v>
      </c>
      <c s="1853" t="s">
        <v>2775</v>
      </c>
      <c s="1853" t="s">
        <v>2776</v>
      </c>
      <c s="1853" t="s">
        <v>2260</v>
      </c>
      <c s="1853" t="s">
        <v>22</v>
      </c>
      <c s="1853" t="s">
        <v>22</v>
      </c>
      <c s="1853" t="s">
        <v>907</v>
      </c>
    </row>
    <row r="1017" spans="1:9" ht="11.25" customHeight="1">
      <c r="A1017" s="1853" t="s">
        <v>2247</v>
      </c>
      <c s="1853" t="s">
        <v>16</v>
      </c>
      <c s="1853" t="s">
        <v>4292</v>
      </c>
      <c s="1853" t="s">
        <v>4293</v>
      </c>
      <c s="1853" t="s">
        <v>4294</v>
      </c>
      <c s="1853" t="s">
        <v>3187</v>
      </c>
      <c s="1853" t="s">
        <v>22</v>
      </c>
      <c s="1853" t="s">
        <v>22</v>
      </c>
      <c s="1853" t="s">
        <v>907</v>
      </c>
    </row>
    <row r="1018" spans="1:9" ht="11.25" customHeight="1">
      <c r="A1018" s="1853" t="s">
        <v>2247</v>
      </c>
      <c s="1853" t="s">
        <v>16</v>
      </c>
      <c s="1853" t="s">
        <v>4744</v>
      </c>
      <c s="1853" t="s">
        <v>4745</v>
      </c>
      <c s="1853" t="s">
        <v>4746</v>
      </c>
      <c s="1853" t="s">
        <v>2256</v>
      </c>
      <c s="1853" t="s">
        <v>22</v>
      </c>
      <c s="1853" t="s">
        <v>22</v>
      </c>
      <c s="1853" t="s">
        <v>907</v>
      </c>
    </row>
    <row r="1019" spans="1:9" ht="11.25" customHeight="1">
      <c r="A1019" s="1853" t="s">
        <v>2247</v>
      </c>
      <c s="1853" t="s">
        <v>16</v>
      </c>
      <c s="1853" t="s">
        <v>4295</v>
      </c>
      <c s="1853" t="s">
        <v>4296</v>
      </c>
      <c s="1853" t="s">
        <v>4297</v>
      </c>
      <c s="1853" t="s">
        <v>2265</v>
      </c>
      <c s="1853" t="s">
        <v>22</v>
      </c>
      <c s="1853" t="s">
        <v>22</v>
      </c>
      <c s="1853" t="s">
        <v>907</v>
      </c>
    </row>
    <row r="1020" spans="1:9" ht="11.25" customHeight="1">
      <c r="A1020" s="1853" t="s">
        <v>2247</v>
      </c>
      <c s="1853" t="s">
        <v>16</v>
      </c>
      <c s="1853" t="s">
        <v>4298</v>
      </c>
      <c s="1853" t="s">
        <v>4299</v>
      </c>
      <c s="1853" t="s">
        <v>4300</v>
      </c>
      <c s="1853" t="s">
        <v>2464</v>
      </c>
      <c s="1853" t="s">
        <v>4301</v>
      </c>
      <c s="1853" t="s">
        <v>22</v>
      </c>
      <c s="1853" t="s">
        <v>907</v>
      </c>
    </row>
    <row r="1021" spans="1:9" ht="11.25" customHeight="1">
      <c r="A1021" s="1853" t="s">
        <v>2247</v>
      </c>
      <c s="1853" t="s">
        <v>16</v>
      </c>
      <c s="1853" t="s">
        <v>2802</v>
      </c>
      <c s="1853" t="s">
        <v>2803</v>
      </c>
      <c s="1853" t="s">
        <v>2804</v>
      </c>
      <c s="1853" t="s">
        <v>2555</v>
      </c>
      <c s="1853" t="s">
        <v>2805</v>
      </c>
      <c s="1853" t="s">
        <v>22</v>
      </c>
      <c s="1853" t="s">
        <v>907</v>
      </c>
    </row>
    <row r="1022" spans="1:9" ht="11.25" customHeight="1">
      <c r="A1022" s="1853" t="s">
        <v>2247</v>
      </c>
      <c s="1853" t="s">
        <v>16</v>
      </c>
      <c s="1853" t="s">
        <v>4747</v>
      </c>
      <c s="1853" t="s">
        <v>4748</v>
      </c>
      <c s="1853" t="s">
        <v>4749</v>
      </c>
      <c s="1853" t="s">
        <v>2689</v>
      </c>
      <c s="1853" t="s">
        <v>3807</v>
      </c>
      <c s="1853" t="s">
        <v>22</v>
      </c>
      <c s="1853" t="s">
        <v>907</v>
      </c>
    </row>
    <row r="1023" spans="1:9" ht="11.25" customHeight="1">
      <c r="A1023" s="1853" t="s">
        <v>2247</v>
      </c>
      <c s="1853" t="s">
        <v>16</v>
      </c>
      <c s="1853" t="s">
        <v>4305</v>
      </c>
      <c s="1853" t="s">
        <v>4306</v>
      </c>
      <c s="1853" t="s">
        <v>4307</v>
      </c>
      <c s="1853" t="s">
        <v>2265</v>
      </c>
      <c s="1853" t="s">
        <v>22</v>
      </c>
      <c s="1853" t="s">
        <v>22</v>
      </c>
      <c s="1853" t="s">
        <v>907</v>
      </c>
    </row>
    <row r="1024" spans="1:9" ht="11.25" customHeight="1">
      <c r="A1024" s="1853" t="s">
        <v>2247</v>
      </c>
      <c s="1853" t="s">
        <v>16</v>
      </c>
      <c s="1853" t="s">
        <v>4750</v>
      </c>
      <c s="1853" t="s">
        <v>4751</v>
      </c>
      <c s="1853" t="s">
        <v>4752</v>
      </c>
      <c s="1853" t="s">
        <v>2265</v>
      </c>
      <c s="1853" t="s">
        <v>22</v>
      </c>
      <c s="1853" t="s">
        <v>22</v>
      </c>
      <c s="1853" t="s">
        <v>907</v>
      </c>
    </row>
    <row r="1025" spans="1:9" ht="11.25" customHeight="1">
      <c r="A1025" s="1853" t="s">
        <v>2247</v>
      </c>
      <c s="1853" t="s">
        <v>16</v>
      </c>
      <c s="1853" t="s">
        <v>4753</v>
      </c>
      <c s="1853" t="s">
        <v>4754</v>
      </c>
      <c s="1853" t="s">
        <v>4755</v>
      </c>
      <c s="1853" t="s">
        <v>3146</v>
      </c>
      <c s="1853" t="s">
        <v>22</v>
      </c>
      <c s="1853" t="s">
        <v>22</v>
      </c>
      <c s="1853" t="s">
        <v>907</v>
      </c>
    </row>
    <row r="1026" spans="1:9" ht="11.25" customHeight="1">
      <c r="A1026" s="1853" t="s">
        <v>2247</v>
      </c>
      <c s="1853" t="s">
        <v>16</v>
      </c>
      <c s="1853" t="s">
        <v>2831</v>
      </c>
      <c s="1853" t="s">
        <v>2832</v>
      </c>
      <c s="1853" t="s">
        <v>2833</v>
      </c>
      <c s="1853" t="s">
        <v>2632</v>
      </c>
      <c s="1853" t="s">
        <v>2834</v>
      </c>
      <c s="1853" t="s">
        <v>22</v>
      </c>
      <c s="1853" t="s">
        <v>907</v>
      </c>
    </row>
    <row r="1027" spans="1:9" ht="11.25" customHeight="1">
      <c r="A1027" s="1853" t="s">
        <v>2247</v>
      </c>
      <c s="1853" t="s">
        <v>16</v>
      </c>
      <c s="1853" t="s">
        <v>4756</v>
      </c>
      <c s="1853" t="s">
        <v>4757</v>
      </c>
      <c s="1853" t="s">
        <v>4758</v>
      </c>
      <c s="1853" t="s">
        <v>3146</v>
      </c>
      <c s="1853" t="s">
        <v>22</v>
      </c>
      <c s="1853" t="s">
        <v>22</v>
      </c>
      <c s="1853" t="s">
        <v>907</v>
      </c>
    </row>
    <row r="1028" spans="1:9" ht="11.25" customHeight="1">
      <c r="A1028" s="1853" t="s">
        <v>2247</v>
      </c>
      <c s="1853" t="s">
        <v>16</v>
      </c>
      <c s="1853" t="s">
        <v>4759</v>
      </c>
      <c s="1853" t="s">
        <v>4760</v>
      </c>
      <c s="1853" t="s">
        <v>4761</v>
      </c>
      <c s="1853" t="s">
        <v>3585</v>
      </c>
      <c s="1853" t="s">
        <v>4762</v>
      </c>
      <c s="1853" t="s">
        <v>22</v>
      </c>
      <c s="1853" t="s">
        <v>907</v>
      </c>
    </row>
    <row r="1029" spans="1:9" ht="11.25" customHeight="1">
      <c r="A1029" s="1853" t="s">
        <v>2247</v>
      </c>
      <c s="1853" t="s">
        <v>16</v>
      </c>
      <c s="1853" t="s">
        <v>4763</v>
      </c>
      <c s="1853" t="s">
        <v>4764</v>
      </c>
      <c s="1853" t="s">
        <v>4765</v>
      </c>
      <c s="1853" t="s">
        <v>2251</v>
      </c>
      <c s="1853" t="s">
        <v>22</v>
      </c>
      <c s="1853" t="s">
        <v>22</v>
      </c>
      <c s="1853" t="s">
        <v>907</v>
      </c>
    </row>
    <row r="1030" spans="1:9" ht="11.25" customHeight="1">
      <c r="A1030" s="1853" t="s">
        <v>2247</v>
      </c>
      <c s="1853" t="s">
        <v>16</v>
      </c>
      <c s="1853" t="s">
        <v>4315</v>
      </c>
      <c s="1853" t="s">
        <v>4316</v>
      </c>
      <c s="1853" t="s">
        <v>4317</v>
      </c>
      <c s="1853" t="s">
        <v>2639</v>
      </c>
      <c s="1853" t="s">
        <v>4318</v>
      </c>
      <c s="1853" t="s">
        <v>22</v>
      </c>
      <c s="1853" t="s">
        <v>907</v>
      </c>
    </row>
    <row r="1031" spans="1:9" ht="11.25" customHeight="1">
      <c r="A1031" s="1853" t="s">
        <v>2247</v>
      </c>
      <c s="1853" t="s">
        <v>16</v>
      </c>
      <c s="1853" t="s">
        <v>4766</v>
      </c>
      <c s="1853" t="s">
        <v>4767</v>
      </c>
      <c s="1853" t="s">
        <v>4768</v>
      </c>
      <c s="1853" t="s">
        <v>2391</v>
      </c>
      <c s="1853" t="s">
        <v>4769</v>
      </c>
      <c s="1853" t="s">
        <v>22</v>
      </c>
      <c s="1853" t="s">
        <v>907</v>
      </c>
    </row>
    <row r="1032" spans="1:9" ht="11.25" customHeight="1">
      <c r="A1032" s="1853" t="s">
        <v>2247</v>
      </c>
      <c s="1853" t="s">
        <v>16</v>
      </c>
      <c s="1853" t="s">
        <v>4770</v>
      </c>
      <c s="1853" t="s">
        <v>4771</v>
      </c>
      <c s="1853" t="s">
        <v>4772</v>
      </c>
      <c s="1853" t="s">
        <v>2982</v>
      </c>
      <c s="1853" t="s">
        <v>3309</v>
      </c>
      <c s="1853" t="s">
        <v>22</v>
      </c>
      <c s="1853" t="s">
        <v>907</v>
      </c>
    </row>
    <row r="1033" spans="1:9" ht="11.25" customHeight="1">
      <c r="A1033" s="1853" t="s">
        <v>2247</v>
      </c>
      <c s="1853" t="s">
        <v>16</v>
      </c>
      <c s="1853" t="s">
        <v>4773</v>
      </c>
      <c s="1853" t="s">
        <v>4774</v>
      </c>
      <c s="1853" t="s">
        <v>4775</v>
      </c>
      <c s="1853" t="s">
        <v>2568</v>
      </c>
      <c s="1853" t="s">
        <v>4776</v>
      </c>
      <c s="1853" t="s">
        <v>22</v>
      </c>
      <c s="1853" t="s">
        <v>907</v>
      </c>
    </row>
    <row r="1034" spans="1:9" ht="11.25" customHeight="1">
      <c r="A1034" s="1853" t="s">
        <v>2247</v>
      </c>
      <c s="1853" t="s">
        <v>16</v>
      </c>
      <c s="1853" t="s">
        <v>2862</v>
      </c>
      <c s="1853" t="s">
        <v>2863</v>
      </c>
      <c s="1853" t="s">
        <v>2864</v>
      </c>
      <c s="1853" t="s">
        <v>2639</v>
      </c>
      <c s="1853" t="s">
        <v>2865</v>
      </c>
      <c s="1853" t="s">
        <v>22</v>
      </c>
      <c s="1853" t="s">
        <v>907</v>
      </c>
    </row>
    <row r="1035" spans="1:9" ht="11.25" customHeight="1">
      <c r="A1035" s="1853" t="s">
        <v>2247</v>
      </c>
      <c s="1853" t="s">
        <v>16</v>
      </c>
      <c s="1853" t="s">
        <v>4777</v>
      </c>
      <c s="1853" t="s">
        <v>4778</v>
      </c>
      <c s="1853" t="s">
        <v>4779</v>
      </c>
      <c s="1853" t="s">
        <v>2256</v>
      </c>
      <c s="1853" t="s">
        <v>4780</v>
      </c>
      <c s="1853" t="s">
        <v>22</v>
      </c>
      <c s="1853" t="s">
        <v>907</v>
      </c>
    </row>
    <row r="1036" spans="1:9" ht="11.25" customHeight="1">
      <c r="A1036" s="1853" t="s">
        <v>2247</v>
      </c>
      <c s="1853" t="s">
        <v>16</v>
      </c>
      <c s="1853" t="s">
        <v>4781</v>
      </c>
      <c s="1853" t="s">
        <v>4782</v>
      </c>
      <c s="1853" t="s">
        <v>4783</v>
      </c>
      <c s="1853" t="s">
        <v>2454</v>
      </c>
      <c s="1853" t="s">
        <v>22</v>
      </c>
      <c s="1853" t="s">
        <v>22</v>
      </c>
      <c s="1853" t="s">
        <v>907</v>
      </c>
    </row>
    <row r="1037" spans="1:9" ht="11.25" customHeight="1">
      <c r="A1037" s="1853" t="s">
        <v>2247</v>
      </c>
      <c s="1853" t="s">
        <v>16</v>
      </c>
      <c s="1853" t="s">
        <v>4348</v>
      </c>
      <c s="1853" t="s">
        <v>4349</v>
      </c>
      <c s="1853" t="s">
        <v>4350</v>
      </c>
      <c s="1853" t="s">
        <v>2328</v>
      </c>
      <c s="1853" t="s">
        <v>4351</v>
      </c>
      <c s="1853" t="s">
        <v>22</v>
      </c>
      <c s="1853" t="s">
        <v>907</v>
      </c>
    </row>
    <row r="1038" spans="1:9" ht="11.25" customHeight="1">
      <c r="A1038" s="1853" t="s">
        <v>2247</v>
      </c>
      <c s="1853" t="s">
        <v>16</v>
      </c>
      <c s="1853" t="s">
        <v>4352</v>
      </c>
      <c s="1853" t="s">
        <v>4353</v>
      </c>
      <c s="1853" t="s">
        <v>4354</v>
      </c>
      <c s="1853" t="s">
        <v>3146</v>
      </c>
      <c s="1853" t="s">
        <v>22</v>
      </c>
      <c s="1853" t="s">
        <v>22</v>
      </c>
      <c s="1853" t="s">
        <v>907</v>
      </c>
    </row>
    <row r="1039" spans="1:9" ht="11.25" customHeight="1">
      <c r="A1039" s="1853" t="s">
        <v>2247</v>
      </c>
      <c s="1853" t="s">
        <v>16</v>
      </c>
      <c s="1853" t="s">
        <v>4355</v>
      </c>
      <c s="1853" t="s">
        <v>4356</v>
      </c>
      <c s="1853" t="s">
        <v>4357</v>
      </c>
      <c s="1853" t="s">
        <v>3203</v>
      </c>
      <c s="1853" t="s">
        <v>4358</v>
      </c>
      <c s="1853" t="s">
        <v>22</v>
      </c>
      <c s="1853" t="s">
        <v>907</v>
      </c>
    </row>
    <row r="1040" spans="1:9" ht="11.25" customHeight="1">
      <c r="A1040" s="1853" t="s">
        <v>2247</v>
      </c>
      <c s="1853" t="s">
        <v>16</v>
      </c>
      <c s="1853" t="s">
        <v>4363</v>
      </c>
      <c s="1853" t="s">
        <v>4360</v>
      </c>
      <c s="1853" t="s">
        <v>4364</v>
      </c>
      <c s="1853" t="s">
        <v>3187</v>
      </c>
      <c s="1853" t="s">
        <v>22</v>
      </c>
      <c s="1853" t="s">
        <v>22</v>
      </c>
      <c s="1853" t="s">
        <v>907</v>
      </c>
    </row>
    <row r="1041" spans="1:9" ht="11.25" customHeight="1">
      <c r="A1041" s="1853" t="s">
        <v>2247</v>
      </c>
      <c s="1853" t="s">
        <v>16</v>
      </c>
      <c s="1853" t="s">
        <v>4784</v>
      </c>
      <c s="1853" t="s">
        <v>4785</v>
      </c>
      <c s="1853" t="s">
        <v>4786</v>
      </c>
      <c s="1853" t="s">
        <v>3954</v>
      </c>
      <c s="1853" t="s">
        <v>4375</v>
      </c>
      <c s="1853" t="s">
        <v>22</v>
      </c>
      <c s="1853" t="s">
        <v>907</v>
      </c>
    </row>
    <row r="1042" spans="1:9" ht="11.25" customHeight="1">
      <c r="A1042" s="1853" t="s">
        <v>2247</v>
      </c>
      <c s="1853" t="s">
        <v>16</v>
      </c>
      <c s="1853" t="s">
        <v>4787</v>
      </c>
      <c s="1853" t="s">
        <v>4785</v>
      </c>
      <c s="1853" t="s">
        <v>4788</v>
      </c>
      <c s="1853" t="s">
        <v>2604</v>
      </c>
      <c s="1853" t="s">
        <v>4367</v>
      </c>
      <c s="1853" t="s">
        <v>22</v>
      </c>
      <c s="1853" t="s">
        <v>907</v>
      </c>
    </row>
    <row r="1043" spans="1:9" ht="11.25" customHeight="1">
      <c r="A1043" s="1853" t="s">
        <v>2247</v>
      </c>
      <c s="1853" t="s">
        <v>16</v>
      </c>
      <c s="1853" t="s">
        <v>4376</v>
      </c>
      <c s="1853" t="s">
        <v>4377</v>
      </c>
      <c s="1853" t="s">
        <v>4378</v>
      </c>
      <c s="1853" t="s">
        <v>3954</v>
      </c>
      <c s="1853" t="s">
        <v>22</v>
      </c>
      <c s="1853" t="s">
        <v>22</v>
      </c>
      <c s="1853" t="s">
        <v>907</v>
      </c>
    </row>
    <row r="1044" spans="1:9" ht="11.25" customHeight="1">
      <c r="A1044" s="1853" t="s">
        <v>2247</v>
      </c>
      <c s="1853" t="s">
        <v>16</v>
      </c>
      <c s="1853" t="s">
        <v>4387</v>
      </c>
      <c s="1853" t="s">
        <v>4388</v>
      </c>
      <c s="1853" t="s">
        <v>4389</v>
      </c>
      <c s="1853" t="s">
        <v>3388</v>
      </c>
      <c s="1853" t="s">
        <v>22</v>
      </c>
      <c s="1853" t="s">
        <v>22</v>
      </c>
      <c s="1853" t="s">
        <v>907</v>
      </c>
    </row>
    <row r="1045" spans="1:9" ht="11.25" customHeight="1">
      <c r="A1045" s="1853" t="s">
        <v>2247</v>
      </c>
      <c s="1853" t="s">
        <v>16</v>
      </c>
      <c s="1853" t="s">
        <v>4789</v>
      </c>
      <c s="1853" t="s">
        <v>4790</v>
      </c>
      <c s="1853" t="s">
        <v>4791</v>
      </c>
      <c s="1853" t="s">
        <v>4792</v>
      </c>
      <c s="1853" t="s">
        <v>4793</v>
      </c>
      <c s="1853" t="s">
        <v>22</v>
      </c>
      <c s="1853" t="s">
        <v>907</v>
      </c>
    </row>
    <row r="1046" spans="1:9" ht="11.25" customHeight="1">
      <c r="A1046" s="1853" t="s">
        <v>2247</v>
      </c>
      <c s="1853" t="s">
        <v>16</v>
      </c>
      <c s="1853" t="s">
        <v>4794</v>
      </c>
      <c s="1853" t="s">
        <v>4795</v>
      </c>
      <c s="1853" t="s">
        <v>4796</v>
      </c>
      <c s="1853" t="s">
        <v>2301</v>
      </c>
      <c s="1853" t="s">
        <v>22</v>
      </c>
      <c s="1853" t="s">
        <v>22</v>
      </c>
      <c s="1853" t="s">
        <v>907</v>
      </c>
    </row>
    <row r="1047" spans="1:9" ht="11.25" customHeight="1">
      <c r="A1047" s="1853" t="s">
        <v>2247</v>
      </c>
      <c s="1853" t="s">
        <v>16</v>
      </c>
      <c s="1853" t="s">
        <v>4403</v>
      </c>
      <c s="1853" t="s">
        <v>4404</v>
      </c>
      <c s="1853" t="s">
        <v>4405</v>
      </c>
      <c s="1853" t="s">
        <v>2301</v>
      </c>
      <c s="1853" t="s">
        <v>4406</v>
      </c>
      <c s="1853" t="s">
        <v>22</v>
      </c>
      <c s="1853" t="s">
        <v>907</v>
      </c>
    </row>
    <row r="1048" spans="1:9" ht="11.25" customHeight="1">
      <c r="A1048" s="1853" t="s">
        <v>2247</v>
      </c>
      <c s="1853" t="s">
        <v>16</v>
      </c>
      <c s="1853" t="s">
        <v>4410</v>
      </c>
      <c s="1853" t="s">
        <v>4411</v>
      </c>
      <c s="1853" t="s">
        <v>4412</v>
      </c>
      <c s="1853" t="s">
        <v>2712</v>
      </c>
      <c s="1853" t="s">
        <v>22</v>
      </c>
      <c s="1853" t="s">
        <v>22</v>
      </c>
      <c s="1853" t="s">
        <v>907</v>
      </c>
    </row>
    <row r="1049" spans="1:9" ht="11.25" customHeight="1">
      <c r="A1049" s="1853" t="s">
        <v>2247</v>
      </c>
      <c s="1853" t="s">
        <v>16</v>
      </c>
      <c s="1853" t="s">
        <v>4797</v>
      </c>
      <c s="1853" t="s">
        <v>4798</v>
      </c>
      <c s="1853" t="s">
        <v>4799</v>
      </c>
      <c s="1853" t="s">
        <v>2632</v>
      </c>
      <c s="1853" t="s">
        <v>4800</v>
      </c>
      <c s="1853" t="s">
        <v>22</v>
      </c>
      <c s="1853" t="s">
        <v>907</v>
      </c>
    </row>
    <row r="1050" spans="1:9" ht="11.25" customHeight="1">
      <c r="A1050" s="1853" t="s">
        <v>2247</v>
      </c>
      <c s="1853" t="s">
        <v>16</v>
      </c>
      <c s="1853" t="s">
        <v>4413</v>
      </c>
      <c s="1853" t="s">
        <v>4414</v>
      </c>
      <c s="1853" t="s">
        <v>4415</v>
      </c>
      <c s="1853" t="s">
        <v>2684</v>
      </c>
      <c s="1853" t="s">
        <v>4416</v>
      </c>
      <c s="1853" t="s">
        <v>22</v>
      </c>
      <c s="1853" t="s">
        <v>907</v>
      </c>
    </row>
    <row r="1051" spans="1:9" ht="11.25" customHeight="1">
      <c r="A1051" s="1853" t="s">
        <v>2247</v>
      </c>
      <c s="1853" t="s">
        <v>16</v>
      </c>
      <c s="1853" t="s">
        <v>4417</v>
      </c>
      <c s="1853" t="s">
        <v>4418</v>
      </c>
      <c s="1853" t="s">
        <v>4419</v>
      </c>
      <c s="1853" t="s">
        <v>2324</v>
      </c>
      <c s="1853" t="s">
        <v>4420</v>
      </c>
      <c s="1853" t="s">
        <v>22</v>
      </c>
      <c s="1853" t="s">
        <v>907</v>
      </c>
    </row>
    <row r="1052" spans="1:9" ht="11.25" customHeight="1">
      <c r="A1052" s="1853" t="s">
        <v>2247</v>
      </c>
      <c s="1853" t="s">
        <v>16</v>
      </c>
      <c s="1853" t="s">
        <v>4421</v>
      </c>
      <c s="1853" t="s">
        <v>4422</v>
      </c>
      <c s="1853" t="s">
        <v>4423</v>
      </c>
      <c s="1853" t="s">
        <v>2684</v>
      </c>
      <c s="1853" t="s">
        <v>4416</v>
      </c>
      <c s="1853" t="s">
        <v>22</v>
      </c>
      <c s="1853" t="s">
        <v>907</v>
      </c>
    </row>
    <row r="1053" spans="1:9" ht="11.25" customHeight="1">
      <c r="A1053" s="1853" t="s">
        <v>2247</v>
      </c>
      <c s="1853" t="s">
        <v>16</v>
      </c>
      <c s="1853" t="s">
        <v>4430</v>
      </c>
      <c s="1853" t="s">
        <v>4431</v>
      </c>
      <c s="1853" t="s">
        <v>4432</v>
      </c>
      <c s="1853" t="s">
        <v>51</v>
      </c>
      <c s="1853" t="s">
        <v>4433</v>
      </c>
      <c s="1853" t="s">
        <v>22</v>
      </c>
      <c s="1853" t="s">
        <v>907</v>
      </c>
    </row>
    <row r="1054" spans="1:9" ht="11.25" customHeight="1">
      <c r="A1054" s="1853" t="s">
        <v>2247</v>
      </c>
      <c s="1853" t="s">
        <v>16</v>
      </c>
      <c s="1853" t="s">
        <v>4434</v>
      </c>
      <c s="1853" t="s">
        <v>4435</v>
      </c>
      <c s="1853" t="s">
        <v>4436</v>
      </c>
      <c s="1853" t="s">
        <v>51</v>
      </c>
      <c s="1853" t="s">
        <v>22</v>
      </c>
      <c s="1853" t="s">
        <v>22</v>
      </c>
      <c s="1853" t="s">
        <v>907</v>
      </c>
    </row>
    <row r="1055" spans="1:9" ht="11.25" customHeight="1">
      <c r="A1055" s="1853" t="s">
        <v>2247</v>
      </c>
      <c s="1853" t="s">
        <v>16</v>
      </c>
      <c s="1853" t="s">
        <v>4437</v>
      </c>
      <c s="1853" t="s">
        <v>4438</v>
      </c>
      <c s="1853" t="s">
        <v>4439</v>
      </c>
      <c s="1853" t="s">
        <v>51</v>
      </c>
      <c s="1853" t="s">
        <v>4440</v>
      </c>
      <c s="1853" t="s">
        <v>22</v>
      </c>
      <c s="1853" t="s">
        <v>907</v>
      </c>
    </row>
    <row r="1056" spans="1:9" ht="11.25" customHeight="1">
      <c r="A1056" s="1853" t="s">
        <v>2247</v>
      </c>
      <c s="1853" t="s">
        <v>16</v>
      </c>
      <c s="1853" t="s">
        <v>4801</v>
      </c>
      <c s="1853" t="s">
        <v>4802</v>
      </c>
      <c s="1853" t="s">
        <v>4803</v>
      </c>
      <c s="1853" t="s">
        <v>2604</v>
      </c>
      <c s="1853" t="s">
        <v>3833</v>
      </c>
      <c s="1853" t="s">
        <v>22</v>
      </c>
      <c s="1853" t="s">
        <v>907</v>
      </c>
    </row>
    <row r="1057" spans="1:9" ht="11.25" customHeight="1">
      <c r="A1057" s="1853" t="s">
        <v>2247</v>
      </c>
      <c s="1853" t="s">
        <v>16</v>
      </c>
      <c s="1853" t="s">
        <v>4441</v>
      </c>
      <c s="1853" t="s">
        <v>4442</v>
      </c>
      <c s="1853" t="s">
        <v>4436</v>
      </c>
      <c s="1853" t="s">
        <v>2301</v>
      </c>
      <c s="1853" t="s">
        <v>4443</v>
      </c>
      <c s="1853" t="s">
        <v>22</v>
      </c>
      <c s="1853" t="s">
        <v>907</v>
      </c>
    </row>
    <row r="1058" spans="1:9" ht="11.25" customHeight="1">
      <c r="A1058" s="1853" t="s">
        <v>2247</v>
      </c>
      <c s="1853" t="s">
        <v>16</v>
      </c>
      <c s="1853" t="s">
        <v>4444</v>
      </c>
      <c s="1853" t="s">
        <v>4445</v>
      </c>
      <c s="1853" t="s">
        <v>4446</v>
      </c>
      <c s="1853" t="s">
        <v>2842</v>
      </c>
      <c s="1853" t="s">
        <v>4447</v>
      </c>
      <c s="1853" t="s">
        <v>22</v>
      </c>
      <c s="1853" t="s">
        <v>907</v>
      </c>
    </row>
    <row r="1059" spans="1:9" ht="11.25" customHeight="1">
      <c r="A1059" s="1853" t="s">
        <v>2247</v>
      </c>
      <c s="1853" t="s">
        <v>16</v>
      </c>
      <c s="1853" t="s">
        <v>4448</v>
      </c>
      <c s="1853" t="s">
        <v>4445</v>
      </c>
      <c s="1853" t="s">
        <v>4449</v>
      </c>
      <c s="1853" t="s">
        <v>2604</v>
      </c>
      <c s="1853" t="s">
        <v>22</v>
      </c>
      <c s="1853" t="s">
        <v>22</v>
      </c>
      <c s="1853" t="s">
        <v>907</v>
      </c>
    </row>
    <row r="1060" spans="1:9" ht="11.25" customHeight="1">
      <c r="A1060" s="1853" t="s">
        <v>2247</v>
      </c>
      <c s="1853" t="s">
        <v>16</v>
      </c>
      <c s="1853" t="s">
        <v>4804</v>
      </c>
      <c s="1853" t="s">
        <v>4451</v>
      </c>
      <c s="1853" t="s">
        <v>4805</v>
      </c>
      <c s="1853" t="s">
        <v>2742</v>
      </c>
      <c s="1853" t="s">
        <v>4806</v>
      </c>
      <c s="1853" t="s">
        <v>22</v>
      </c>
      <c s="1853" t="s">
        <v>907</v>
      </c>
    </row>
    <row r="1061" spans="1:9" ht="11.25" customHeight="1">
      <c r="A1061" s="1853" t="s">
        <v>2247</v>
      </c>
      <c s="1853" t="s">
        <v>16</v>
      </c>
      <c s="1853" t="s">
        <v>4454</v>
      </c>
      <c s="1853" t="s">
        <v>4451</v>
      </c>
      <c s="1853" t="s">
        <v>4455</v>
      </c>
      <c s="1853" t="s">
        <v>2712</v>
      </c>
      <c s="1853" t="s">
        <v>4456</v>
      </c>
      <c s="1853" t="s">
        <v>22</v>
      </c>
      <c s="1853" t="s">
        <v>907</v>
      </c>
    </row>
    <row r="1062" spans="1:9" ht="11.25" customHeight="1">
      <c r="A1062" s="1853" t="s">
        <v>2247</v>
      </c>
      <c s="1853" t="s">
        <v>16</v>
      </c>
      <c s="1853" t="s">
        <v>4457</v>
      </c>
      <c s="1853" t="s">
        <v>4458</v>
      </c>
      <c s="1853" t="s">
        <v>4459</v>
      </c>
      <c s="1853" t="s">
        <v>2265</v>
      </c>
      <c s="1853" t="s">
        <v>22</v>
      </c>
      <c s="1853" t="s">
        <v>22</v>
      </c>
      <c s="1853" t="s">
        <v>907</v>
      </c>
    </row>
    <row r="1063" spans="1:9" ht="11.25" customHeight="1">
      <c r="A1063" s="1853" t="s">
        <v>2247</v>
      </c>
      <c s="1853" t="s">
        <v>16</v>
      </c>
      <c s="1853" t="s">
        <v>4460</v>
      </c>
      <c s="1853" t="s">
        <v>4461</v>
      </c>
      <c s="1853" t="s">
        <v>4462</v>
      </c>
      <c s="1853" t="s">
        <v>2680</v>
      </c>
      <c s="1853" t="s">
        <v>4463</v>
      </c>
      <c s="1853" t="s">
        <v>22</v>
      </c>
      <c s="1853" t="s">
        <v>907</v>
      </c>
    </row>
    <row r="1064" spans="1:9" ht="11.25" customHeight="1">
      <c r="A1064" s="1853" t="s">
        <v>2247</v>
      </c>
      <c s="1853" t="s">
        <v>16</v>
      </c>
      <c s="1853" t="s">
        <v>4464</v>
      </c>
      <c s="1853" t="s">
        <v>4465</v>
      </c>
      <c s="1853" t="s">
        <v>4466</v>
      </c>
      <c s="1853" t="s">
        <v>51</v>
      </c>
      <c s="1853" t="s">
        <v>4467</v>
      </c>
      <c s="1853" t="s">
        <v>22</v>
      </c>
      <c s="1853" t="s">
        <v>907</v>
      </c>
    </row>
    <row r="1065" spans="1:9" ht="11.25" customHeight="1">
      <c r="A1065" s="1853" t="s">
        <v>2247</v>
      </c>
      <c s="1853" t="s">
        <v>16</v>
      </c>
      <c s="1853" t="s">
        <v>4807</v>
      </c>
      <c s="1853" t="s">
        <v>4808</v>
      </c>
      <c s="1853" t="s">
        <v>4809</v>
      </c>
      <c s="1853" t="s">
        <v>3203</v>
      </c>
      <c s="1853" t="s">
        <v>22</v>
      </c>
      <c s="1853" t="s">
        <v>22</v>
      </c>
      <c s="1853" t="s">
        <v>907</v>
      </c>
    </row>
    <row r="1066" spans="1:9" ht="11.25" customHeight="1">
      <c r="A1066" s="1853" t="s">
        <v>2247</v>
      </c>
      <c s="1853" t="s">
        <v>16</v>
      </c>
      <c s="1853" t="s">
        <v>4472</v>
      </c>
      <c s="1853" t="s">
        <v>4473</v>
      </c>
      <c s="1853" t="s">
        <v>4474</v>
      </c>
      <c s="1853" t="s">
        <v>2684</v>
      </c>
      <c s="1853" t="s">
        <v>4475</v>
      </c>
      <c s="1853" t="s">
        <v>22</v>
      </c>
      <c s="1853" t="s">
        <v>907</v>
      </c>
    </row>
    <row r="1067" spans="1:9" ht="11.25" customHeight="1">
      <c r="A1067" s="1853" t="s">
        <v>2247</v>
      </c>
      <c s="1853" t="s">
        <v>16</v>
      </c>
      <c s="1853" t="s">
        <v>2963</v>
      </c>
      <c s="1853" t="s">
        <v>2964</v>
      </c>
      <c s="1853" t="s">
        <v>2965</v>
      </c>
      <c s="1853" t="s">
        <v>2256</v>
      </c>
      <c s="1853" t="s">
        <v>2966</v>
      </c>
      <c s="1853" t="s">
        <v>22</v>
      </c>
      <c s="1853" t="s">
        <v>907</v>
      </c>
    </row>
    <row r="1068" spans="1:9" ht="11.25" customHeight="1">
      <c r="A1068" s="1853" t="s">
        <v>2247</v>
      </c>
      <c s="1853" t="s">
        <v>16</v>
      </c>
      <c s="1853" t="s">
        <v>2975</v>
      </c>
      <c s="1853" t="s">
        <v>2976</v>
      </c>
      <c s="1853" t="s">
        <v>2977</v>
      </c>
      <c s="1853" t="s">
        <v>2251</v>
      </c>
      <c s="1853" t="s">
        <v>2978</v>
      </c>
      <c s="1853" t="s">
        <v>22</v>
      </c>
      <c s="1853" t="s">
        <v>907</v>
      </c>
    </row>
    <row r="1069" spans="1:9" ht="11.25" customHeight="1">
      <c r="A1069" s="1853" t="s">
        <v>2247</v>
      </c>
      <c s="1853" t="s">
        <v>16</v>
      </c>
      <c s="1853" t="s">
        <v>4495</v>
      </c>
      <c s="1853" t="s">
        <v>4496</v>
      </c>
      <c s="1853" t="s">
        <v>4497</v>
      </c>
      <c s="1853" t="s">
        <v>2328</v>
      </c>
      <c s="1853" t="s">
        <v>4498</v>
      </c>
      <c s="1853" t="s">
        <v>22</v>
      </c>
      <c s="1853" t="s">
        <v>907</v>
      </c>
    </row>
    <row r="1070" spans="1:9" ht="11.25" customHeight="1">
      <c r="A1070" s="1853" t="s">
        <v>2247</v>
      </c>
      <c s="1853" t="s">
        <v>16</v>
      </c>
      <c s="1853" t="s">
        <v>4810</v>
      </c>
      <c s="1853" t="s">
        <v>4811</v>
      </c>
      <c s="1853" t="s">
        <v>4812</v>
      </c>
      <c s="1853" t="s">
        <v>4813</v>
      </c>
      <c s="1853" t="s">
        <v>4814</v>
      </c>
      <c s="1853" t="s">
        <v>22</v>
      </c>
      <c s="1853" t="s">
        <v>907</v>
      </c>
    </row>
    <row r="1071" spans="1:9" ht="11.25" customHeight="1">
      <c r="A1071" s="1853" t="s">
        <v>2247</v>
      </c>
      <c s="1853" t="s">
        <v>16</v>
      </c>
      <c s="1853" t="s">
        <v>4504</v>
      </c>
      <c s="1853" t="s">
        <v>4505</v>
      </c>
      <c s="1853" t="s">
        <v>4506</v>
      </c>
      <c s="1853" t="s">
        <v>51</v>
      </c>
      <c s="1853" t="s">
        <v>4507</v>
      </c>
      <c s="1853" t="s">
        <v>22</v>
      </c>
      <c s="1853" t="s">
        <v>907</v>
      </c>
    </row>
    <row r="1072" spans="1:9" ht="11.25" customHeight="1">
      <c r="A1072" s="1853" t="s">
        <v>2247</v>
      </c>
      <c s="1853" t="s">
        <v>16</v>
      </c>
      <c s="1853" t="s">
        <v>4508</v>
      </c>
      <c s="1853" t="s">
        <v>4509</v>
      </c>
      <c s="1853" t="s">
        <v>4510</v>
      </c>
      <c s="1853" t="s">
        <v>2588</v>
      </c>
      <c s="1853" t="s">
        <v>4511</v>
      </c>
      <c s="1853" t="s">
        <v>22</v>
      </c>
      <c s="1853" t="s">
        <v>907</v>
      </c>
    </row>
    <row r="1073" spans="1:9" ht="11.25" customHeight="1">
      <c r="A1073" s="1853" t="s">
        <v>2247</v>
      </c>
      <c s="1853" t="s">
        <v>16</v>
      </c>
      <c s="1853" t="s">
        <v>4815</v>
      </c>
      <c s="1853" t="s">
        <v>4816</v>
      </c>
      <c s="1853" t="s">
        <v>4817</v>
      </c>
      <c s="1853" t="s">
        <v>2256</v>
      </c>
      <c s="1853" t="s">
        <v>4818</v>
      </c>
      <c s="1853" t="s">
        <v>22</v>
      </c>
      <c s="1853" t="s">
        <v>907</v>
      </c>
    </row>
    <row r="1074" spans="1:9" ht="11.25" customHeight="1">
      <c r="A1074" s="1853" t="s">
        <v>2247</v>
      </c>
      <c s="1853" t="s">
        <v>16</v>
      </c>
      <c s="1853" t="s">
        <v>4512</v>
      </c>
      <c s="1853" t="s">
        <v>4513</v>
      </c>
      <c s="1853" t="s">
        <v>4514</v>
      </c>
      <c s="1853" t="s">
        <v>2251</v>
      </c>
      <c s="1853" t="s">
        <v>4515</v>
      </c>
      <c s="1853" t="s">
        <v>22</v>
      </c>
      <c s="1853" t="s">
        <v>907</v>
      </c>
    </row>
    <row r="1075" spans="1:9" ht="11.25" customHeight="1">
      <c r="A1075" s="1853" t="s">
        <v>2247</v>
      </c>
      <c s="1853" t="s">
        <v>16</v>
      </c>
      <c s="1853" t="s">
        <v>4523</v>
      </c>
      <c s="1853" t="s">
        <v>4524</v>
      </c>
      <c s="1853" t="s">
        <v>4525</v>
      </c>
      <c s="1853" t="s">
        <v>3108</v>
      </c>
      <c s="1853" t="s">
        <v>22</v>
      </c>
      <c s="1853" t="s">
        <v>22</v>
      </c>
      <c s="1853" t="s">
        <v>907</v>
      </c>
    </row>
    <row r="1076" spans="1:9" ht="11.25" customHeight="1">
      <c r="A1076" s="1853" t="s">
        <v>2247</v>
      </c>
      <c s="1853" t="s">
        <v>16</v>
      </c>
      <c s="1853" t="s">
        <v>3065</v>
      </c>
      <c s="1853" t="s">
        <v>3066</v>
      </c>
      <c s="1853" t="s">
        <v>3067</v>
      </c>
      <c s="1853" t="s">
        <v>2395</v>
      </c>
      <c s="1853" t="s">
        <v>3068</v>
      </c>
      <c s="1853" t="s">
        <v>22</v>
      </c>
      <c s="1853" t="s">
        <v>907</v>
      </c>
    </row>
    <row r="1077" spans="1:9" ht="11.25" customHeight="1">
      <c r="A1077" s="1853" t="s">
        <v>2247</v>
      </c>
      <c s="1853" t="s">
        <v>16</v>
      </c>
      <c s="1853" t="s">
        <v>4530</v>
      </c>
      <c s="1853" t="s">
        <v>4531</v>
      </c>
      <c s="1853" t="s">
        <v>4532</v>
      </c>
      <c s="1853" t="s">
        <v>2251</v>
      </c>
      <c s="1853" t="s">
        <v>4533</v>
      </c>
      <c s="1853" t="s">
        <v>22</v>
      </c>
      <c s="1853" t="s">
        <v>907</v>
      </c>
    </row>
    <row r="1078" spans="1:9" ht="11.25" customHeight="1">
      <c r="A1078" s="1853" t="s">
        <v>2247</v>
      </c>
      <c s="1853" t="s">
        <v>16</v>
      </c>
      <c s="1853" t="s">
        <v>4534</v>
      </c>
      <c s="1853" t="s">
        <v>4535</v>
      </c>
      <c s="1853" t="s">
        <v>4536</v>
      </c>
      <c s="1853" t="s">
        <v>2639</v>
      </c>
      <c s="1853" t="s">
        <v>22</v>
      </c>
      <c s="1853" t="s">
        <v>22</v>
      </c>
      <c s="1853" t="s">
        <v>907</v>
      </c>
    </row>
    <row r="1079" spans="1:9" ht="11.25" customHeight="1">
      <c r="A1079" s="1853" t="s">
        <v>2247</v>
      </c>
      <c s="1853" t="s">
        <v>16</v>
      </c>
      <c s="1853" t="s">
        <v>4541</v>
      </c>
      <c s="1853" t="s">
        <v>4542</v>
      </c>
      <c s="1853" t="s">
        <v>4543</v>
      </c>
      <c s="1853" t="s">
        <v>4544</v>
      </c>
      <c s="1853" t="s">
        <v>4545</v>
      </c>
      <c s="1853" t="s">
        <v>22</v>
      </c>
      <c s="1853" t="s">
        <v>907</v>
      </c>
    </row>
    <row r="1080" spans="1:9" ht="11.25" customHeight="1">
      <c r="A1080" s="1853" t="s">
        <v>2247</v>
      </c>
      <c s="1853" t="s">
        <v>16</v>
      </c>
      <c s="1853" t="s">
        <v>4819</v>
      </c>
      <c s="1853" t="s">
        <v>4820</v>
      </c>
      <c s="1853" t="s">
        <v>4821</v>
      </c>
      <c s="1853" t="s">
        <v>2391</v>
      </c>
      <c s="1853" t="s">
        <v>3405</v>
      </c>
      <c s="1853" t="s">
        <v>22</v>
      </c>
      <c s="1853" t="s">
        <v>907</v>
      </c>
    </row>
    <row r="1081" spans="1:9" ht="11.25" customHeight="1">
      <c r="A1081" s="1853" t="s">
        <v>2247</v>
      </c>
      <c s="1853" t="s">
        <v>16</v>
      </c>
      <c s="1853" t="s">
        <v>3105</v>
      </c>
      <c s="1853" t="s">
        <v>3106</v>
      </c>
      <c s="1853" t="s">
        <v>3107</v>
      </c>
      <c s="1853" t="s">
        <v>3108</v>
      </c>
      <c s="1853" t="s">
        <v>22</v>
      </c>
      <c s="1853" t="s">
        <v>22</v>
      </c>
      <c s="1853" t="s">
        <v>907</v>
      </c>
    </row>
    <row r="1082" spans="1:9" ht="11.25" customHeight="1">
      <c r="A1082" s="1853" t="s">
        <v>2247</v>
      </c>
      <c s="1853" t="s">
        <v>16</v>
      </c>
      <c s="1853" t="s">
        <v>4546</v>
      </c>
      <c s="1853" t="s">
        <v>4547</v>
      </c>
      <c s="1853" t="s">
        <v>4548</v>
      </c>
      <c s="1853" t="s">
        <v>2639</v>
      </c>
      <c s="1853" t="s">
        <v>4549</v>
      </c>
      <c s="1853" t="s">
        <v>22</v>
      </c>
      <c s="1853" t="s">
        <v>907</v>
      </c>
    </row>
    <row r="1083" spans="1:9" ht="11.25" customHeight="1">
      <c r="A1083" s="1853" t="s">
        <v>2247</v>
      </c>
      <c s="1853" t="s">
        <v>16</v>
      </c>
      <c s="1853" t="s">
        <v>4822</v>
      </c>
      <c s="1853" t="s">
        <v>4823</v>
      </c>
      <c s="1853" t="s">
        <v>4824</v>
      </c>
      <c s="1853" t="s">
        <v>2639</v>
      </c>
      <c s="1853" t="s">
        <v>4825</v>
      </c>
      <c s="1853" t="s">
        <v>4826</v>
      </c>
      <c s="1853" t="s">
        <v>907</v>
      </c>
    </row>
    <row r="1084" spans="1:9" ht="11.25" customHeight="1">
      <c r="A1084" s="1853" t="s">
        <v>2247</v>
      </c>
      <c s="1853" t="s">
        <v>16</v>
      </c>
      <c s="1853" t="s">
        <v>3109</v>
      </c>
      <c s="1853" t="s">
        <v>3110</v>
      </c>
      <c s="1853" t="s">
        <v>3111</v>
      </c>
      <c s="1853" t="s">
        <v>2290</v>
      </c>
      <c s="1853" t="s">
        <v>3112</v>
      </c>
      <c s="1853" t="s">
        <v>22</v>
      </c>
      <c s="1853" t="s">
        <v>907</v>
      </c>
    </row>
    <row r="1085" spans="1:9" ht="11.25" customHeight="1">
      <c r="A1085" s="1853" t="s">
        <v>2247</v>
      </c>
      <c s="1853" t="s">
        <v>16</v>
      </c>
      <c s="1853" t="s">
        <v>4550</v>
      </c>
      <c s="1853" t="s">
        <v>4551</v>
      </c>
      <c s="1853" t="s">
        <v>4552</v>
      </c>
      <c s="1853" t="s">
        <v>4553</v>
      </c>
      <c s="1853" t="s">
        <v>4554</v>
      </c>
      <c s="1853" t="s">
        <v>22</v>
      </c>
      <c s="1853" t="s">
        <v>907</v>
      </c>
    </row>
    <row r="1086" spans="1:9" ht="11.25" customHeight="1">
      <c r="A1086" s="1853" t="s">
        <v>2247</v>
      </c>
      <c s="1853" t="s">
        <v>16</v>
      </c>
      <c s="1853" t="s">
        <v>4555</v>
      </c>
      <c s="1853" t="s">
        <v>4556</v>
      </c>
      <c s="1853" t="s">
        <v>4557</v>
      </c>
      <c s="1853" t="s">
        <v>2370</v>
      </c>
      <c s="1853" t="s">
        <v>22</v>
      </c>
      <c s="1853" t="s">
        <v>22</v>
      </c>
      <c s="1853" t="s">
        <v>907</v>
      </c>
    </row>
    <row r="1087" spans="1:9" ht="11.25" customHeight="1">
      <c r="A1087" s="1853" t="s">
        <v>2247</v>
      </c>
      <c s="1853" t="s">
        <v>16</v>
      </c>
      <c s="1853" t="s">
        <v>4565</v>
      </c>
      <c s="1853" t="s">
        <v>4566</v>
      </c>
      <c s="1853" t="s">
        <v>4567</v>
      </c>
      <c s="1853" t="s">
        <v>2842</v>
      </c>
      <c s="1853" t="s">
        <v>4568</v>
      </c>
      <c s="1853" t="s">
        <v>22</v>
      </c>
      <c s="1853" t="s">
        <v>907</v>
      </c>
    </row>
    <row r="1088" spans="1:9" ht="11.25" customHeight="1">
      <c r="A1088" s="1853" t="s">
        <v>2247</v>
      </c>
      <c s="1853" t="s">
        <v>16</v>
      </c>
      <c s="1853" t="s">
        <v>3240</v>
      </c>
      <c s="1853" t="s">
        <v>3241</v>
      </c>
      <c s="1853" t="s">
        <v>3242</v>
      </c>
      <c s="1853" t="s">
        <v>2256</v>
      </c>
      <c s="1853" t="s">
        <v>3243</v>
      </c>
      <c s="1853" t="s">
        <v>22</v>
      </c>
      <c s="1853" t="s">
        <v>907</v>
      </c>
    </row>
    <row r="1089" spans="1:9" ht="11.25" customHeight="1">
      <c r="A1089" s="1853" t="s">
        <v>2247</v>
      </c>
      <c s="1853" t="s">
        <v>16</v>
      </c>
      <c s="1853" t="s">
        <v>3244</v>
      </c>
      <c s="1853" t="s">
        <v>3245</v>
      </c>
      <c s="1853" t="s">
        <v>3246</v>
      </c>
      <c s="1853" t="s">
        <v>51</v>
      </c>
      <c s="1853" t="s">
        <v>3247</v>
      </c>
      <c s="1853" t="s">
        <v>22</v>
      </c>
      <c s="1853" t="s">
        <v>907</v>
      </c>
    </row>
    <row r="1090" spans="1:9" ht="11.25" customHeight="1">
      <c r="A1090" s="1853" t="s">
        <v>2247</v>
      </c>
      <c s="1853" t="s">
        <v>16</v>
      </c>
      <c s="1853" t="s">
        <v>4579</v>
      </c>
      <c s="1853" t="s">
        <v>4580</v>
      </c>
      <c s="1853" t="s">
        <v>4581</v>
      </c>
      <c s="1853" t="s">
        <v>4582</v>
      </c>
      <c s="1853" t="s">
        <v>3101</v>
      </c>
      <c s="1853" t="s">
        <v>22</v>
      </c>
      <c s="1853" t="s">
        <v>907</v>
      </c>
    </row>
    <row r="1091" spans="1:9" ht="11.25" customHeight="1">
      <c r="A1091" s="1853" t="s">
        <v>2247</v>
      </c>
      <c s="1853" t="s">
        <v>16</v>
      </c>
      <c s="1853" t="s">
        <v>4827</v>
      </c>
      <c s="1853" t="s">
        <v>4828</v>
      </c>
      <c s="1853" t="s">
        <v>4829</v>
      </c>
      <c s="1853" t="s">
        <v>2639</v>
      </c>
      <c s="1853" t="s">
        <v>4830</v>
      </c>
      <c s="1853" t="s">
        <v>22</v>
      </c>
      <c s="1853" t="s">
        <v>907</v>
      </c>
    </row>
    <row r="1092" spans="1:9" ht="11.25" customHeight="1">
      <c r="A1092" s="1853" t="s">
        <v>2247</v>
      </c>
      <c s="1853" t="s">
        <v>16</v>
      </c>
      <c s="1853" t="s">
        <v>4583</v>
      </c>
      <c s="1853" t="s">
        <v>4584</v>
      </c>
      <c s="1853" t="s">
        <v>4585</v>
      </c>
      <c s="1853" t="s">
        <v>51</v>
      </c>
      <c s="1853" t="s">
        <v>4586</v>
      </c>
      <c s="1853" t="s">
        <v>22</v>
      </c>
      <c s="1853" t="s">
        <v>907</v>
      </c>
    </row>
    <row r="1093" spans="1:9" ht="11.25" customHeight="1">
      <c r="A1093" s="1853" t="s">
        <v>2247</v>
      </c>
      <c s="1853" t="s">
        <v>16</v>
      </c>
      <c s="1853" t="s">
        <v>4831</v>
      </c>
      <c s="1853" t="s">
        <v>4832</v>
      </c>
      <c s="1853" t="s">
        <v>4833</v>
      </c>
      <c s="1853" t="s">
        <v>3080</v>
      </c>
      <c s="1853" t="s">
        <v>4834</v>
      </c>
      <c s="1853" t="s">
        <v>22</v>
      </c>
      <c s="1853" t="s">
        <v>907</v>
      </c>
    </row>
    <row r="1094" spans="1:9" ht="11.25" customHeight="1">
      <c r="A1094" s="1853" t="s">
        <v>2247</v>
      </c>
      <c s="1853" t="s">
        <v>16</v>
      </c>
      <c s="1853" t="s">
        <v>4591</v>
      </c>
      <c s="1853" t="s">
        <v>4592</v>
      </c>
      <c s="1853" t="s">
        <v>4593</v>
      </c>
      <c s="1853" t="s">
        <v>2712</v>
      </c>
      <c s="1853" t="s">
        <v>4594</v>
      </c>
      <c s="1853" t="s">
        <v>22</v>
      </c>
      <c s="1853" t="s">
        <v>907</v>
      </c>
    </row>
    <row r="1095" spans="1:9" ht="11.25" customHeight="1">
      <c r="A1095" s="1853" t="s">
        <v>2247</v>
      </c>
      <c s="1853" t="s">
        <v>16</v>
      </c>
      <c s="1853" t="s">
        <v>3277</v>
      </c>
      <c s="1853" t="s">
        <v>3278</v>
      </c>
      <c s="1853" t="s">
        <v>3279</v>
      </c>
      <c s="1853" t="s">
        <v>2251</v>
      </c>
      <c s="1853" t="s">
        <v>22</v>
      </c>
      <c s="1853" t="s">
        <v>22</v>
      </c>
      <c s="1853" t="s">
        <v>907</v>
      </c>
    </row>
    <row r="1096" spans="1:9" ht="11.25" customHeight="1">
      <c r="A1096" s="1853" t="s">
        <v>2247</v>
      </c>
      <c s="1853" t="s">
        <v>16</v>
      </c>
      <c s="1853" t="s">
        <v>4599</v>
      </c>
      <c s="1853" t="s">
        <v>4600</v>
      </c>
      <c s="1853" t="s">
        <v>4601</v>
      </c>
      <c s="1853" t="s">
        <v>2251</v>
      </c>
      <c s="1853" t="s">
        <v>4602</v>
      </c>
      <c s="1853" t="s">
        <v>22</v>
      </c>
      <c s="1853" t="s">
        <v>907</v>
      </c>
    </row>
    <row r="1097" spans="1:9" ht="11.25" customHeight="1">
      <c r="A1097" s="1853" t="s">
        <v>2247</v>
      </c>
      <c s="1853" t="s">
        <v>16</v>
      </c>
      <c s="1853" t="s">
        <v>4835</v>
      </c>
      <c s="1853" t="s">
        <v>4836</v>
      </c>
      <c s="1853" t="s">
        <v>4837</v>
      </c>
      <c s="1853" t="s">
        <v>2251</v>
      </c>
      <c s="1853" t="s">
        <v>4838</v>
      </c>
      <c s="1853" t="s">
        <v>22</v>
      </c>
      <c s="1853" t="s">
        <v>907</v>
      </c>
    </row>
    <row r="1098" spans="1:9" ht="11.25" customHeight="1">
      <c r="A1098" s="1853" t="s">
        <v>2247</v>
      </c>
      <c s="1853" t="s">
        <v>16</v>
      </c>
      <c s="1853" t="s">
        <v>4603</v>
      </c>
      <c s="1853" t="s">
        <v>4604</v>
      </c>
      <c s="1853" t="s">
        <v>4605</v>
      </c>
      <c s="1853" t="s">
        <v>2251</v>
      </c>
      <c s="1853" t="s">
        <v>4606</v>
      </c>
      <c s="1853" t="s">
        <v>22</v>
      </c>
      <c s="1853" t="s">
        <v>907</v>
      </c>
    </row>
    <row r="1099" spans="1:9" ht="11.25" customHeight="1">
      <c r="A1099" s="1853" t="s">
        <v>2247</v>
      </c>
      <c s="1853" t="s">
        <v>16</v>
      </c>
      <c s="1853" t="s">
        <v>3313</v>
      </c>
      <c s="1853" t="s">
        <v>3314</v>
      </c>
      <c s="1853" t="s">
        <v>3315</v>
      </c>
      <c s="1853" t="s">
        <v>2265</v>
      </c>
      <c s="1853" t="s">
        <v>22</v>
      </c>
      <c s="1853" t="s">
        <v>22</v>
      </c>
      <c s="1853" t="s">
        <v>907</v>
      </c>
    </row>
    <row r="1100" spans="1:9" ht="11.25" customHeight="1">
      <c r="A1100" s="1853" t="s">
        <v>2247</v>
      </c>
      <c s="1853" t="s">
        <v>16</v>
      </c>
      <c s="1853" t="s">
        <v>4607</v>
      </c>
      <c s="1853" t="s">
        <v>4608</v>
      </c>
      <c s="1853" t="s">
        <v>4609</v>
      </c>
      <c s="1853" t="s">
        <v>2251</v>
      </c>
      <c s="1853" t="s">
        <v>4610</v>
      </c>
      <c s="1853" t="s">
        <v>22</v>
      </c>
      <c s="1853" t="s">
        <v>907</v>
      </c>
    </row>
    <row r="1101" spans="1:9" ht="11.25" customHeight="1">
      <c r="A1101" s="1853" t="s">
        <v>2247</v>
      </c>
      <c s="1853" t="s">
        <v>16</v>
      </c>
      <c s="1853" t="s">
        <v>4615</v>
      </c>
      <c s="1853" t="s">
        <v>4616</v>
      </c>
      <c s="1853" t="s">
        <v>4617</v>
      </c>
      <c s="1853" t="s">
        <v>2251</v>
      </c>
      <c s="1853" t="s">
        <v>4618</v>
      </c>
      <c s="1853" t="s">
        <v>22</v>
      </c>
      <c s="1853" t="s">
        <v>907</v>
      </c>
    </row>
    <row r="1102" spans="1:9" ht="11.25" customHeight="1">
      <c r="A1102" s="1853" t="s">
        <v>2247</v>
      </c>
      <c s="1853" t="s">
        <v>16</v>
      </c>
      <c s="1853" t="s">
        <v>3320</v>
      </c>
      <c s="1853" t="s">
        <v>3321</v>
      </c>
      <c s="1853" t="s">
        <v>3322</v>
      </c>
      <c s="1853" t="s">
        <v>2256</v>
      </c>
      <c s="1853" t="s">
        <v>3323</v>
      </c>
      <c s="1853" t="s">
        <v>22</v>
      </c>
      <c s="1853" t="s">
        <v>907</v>
      </c>
    </row>
    <row r="1103" spans="1:9" ht="11.25" customHeight="1">
      <c r="A1103" s="1853" t="s">
        <v>2247</v>
      </c>
      <c s="1853" t="s">
        <v>16</v>
      </c>
      <c s="1853" t="s">
        <v>4839</v>
      </c>
      <c s="1853" t="s">
        <v>4840</v>
      </c>
      <c s="1853" t="s">
        <v>4841</v>
      </c>
      <c s="1853" t="s">
        <v>2568</v>
      </c>
      <c s="1853" t="s">
        <v>22</v>
      </c>
      <c s="1853" t="s">
        <v>22</v>
      </c>
      <c s="1853" t="s">
        <v>907</v>
      </c>
    </row>
    <row r="1104" spans="1:9" ht="11.25" customHeight="1">
      <c r="A1104" s="1853" t="s">
        <v>2247</v>
      </c>
      <c s="1853" t="s">
        <v>16</v>
      </c>
      <c s="1853" t="s">
        <v>4842</v>
      </c>
      <c s="1853" t="s">
        <v>4843</v>
      </c>
      <c s="1853" t="s">
        <v>4844</v>
      </c>
      <c s="1853" t="s">
        <v>3146</v>
      </c>
      <c s="1853" t="s">
        <v>22</v>
      </c>
      <c s="1853" t="s">
        <v>22</v>
      </c>
      <c s="1853" t="s">
        <v>907</v>
      </c>
    </row>
    <row r="1105" spans="1:9" ht="11.25" customHeight="1">
      <c r="A1105" s="1853" t="s">
        <v>2247</v>
      </c>
      <c s="1853" t="s">
        <v>16</v>
      </c>
      <c s="1853" t="s">
        <v>4845</v>
      </c>
      <c s="1853" t="s">
        <v>4846</v>
      </c>
      <c s="1853" t="s">
        <v>4847</v>
      </c>
      <c s="1853" t="s">
        <v>51</v>
      </c>
      <c s="1853" t="s">
        <v>4848</v>
      </c>
      <c s="1853" t="s">
        <v>22</v>
      </c>
      <c s="1853" t="s">
        <v>907</v>
      </c>
    </row>
    <row r="1106" spans="1:9" ht="11.25" customHeight="1">
      <c r="A1106" s="1853" t="s">
        <v>2247</v>
      </c>
      <c s="1853" t="s">
        <v>16</v>
      </c>
      <c s="1853" t="s">
        <v>3559</v>
      </c>
      <c s="1853" t="s">
        <v>3560</v>
      </c>
      <c s="1853" t="s">
        <v>2278</v>
      </c>
      <c s="1853" t="s">
        <v>3561</v>
      </c>
      <c s="1853" t="s">
        <v>3562</v>
      </c>
      <c s="1853" t="s">
        <v>22</v>
      </c>
      <c s="1853" t="s">
        <v>907</v>
      </c>
    </row>
    <row r="1107" spans="1:9" ht="11.25" customHeight="1">
      <c r="A1107" s="1853" t="s">
        <v>2247</v>
      </c>
      <c s="1853" t="s">
        <v>16</v>
      </c>
      <c s="1853" t="s">
        <v>4626</v>
      </c>
      <c s="1853" t="s">
        <v>4627</v>
      </c>
      <c s="1853" t="s">
        <v>4628</v>
      </c>
      <c s="1853" t="s">
        <v>2370</v>
      </c>
      <c s="1853" t="s">
        <v>22</v>
      </c>
      <c s="1853" t="s">
        <v>22</v>
      </c>
      <c s="1853" t="s">
        <v>907</v>
      </c>
    </row>
    <row r="1108" spans="1:9" ht="11.25" customHeight="1">
      <c r="A1108" s="1853" t="s">
        <v>2247</v>
      </c>
      <c s="1853" t="s">
        <v>16</v>
      </c>
      <c s="1853" t="s">
        <v>4849</v>
      </c>
      <c s="1853" t="s">
        <v>4850</v>
      </c>
      <c s="1853" t="s">
        <v>4851</v>
      </c>
      <c s="1853" t="s">
        <v>4852</v>
      </c>
      <c s="1853" t="s">
        <v>4853</v>
      </c>
      <c s="1853" t="s">
        <v>4854</v>
      </c>
      <c s="1853" t="s">
        <v>907</v>
      </c>
    </row>
    <row r="1109" spans="1:9" ht="11.25" customHeight="1">
      <c r="A1109" s="1853" t="s">
        <v>2247</v>
      </c>
      <c s="1853" t="s">
        <v>16</v>
      </c>
      <c s="1853" t="s">
        <v>4855</v>
      </c>
      <c s="1853" t="s">
        <v>4856</v>
      </c>
      <c s="1853" t="s">
        <v>4857</v>
      </c>
      <c s="1853" t="s">
        <v>2620</v>
      </c>
      <c s="1853" t="s">
        <v>3085</v>
      </c>
      <c s="1853" t="s">
        <v>22</v>
      </c>
      <c s="1853" t="s">
        <v>907</v>
      </c>
    </row>
    <row r="1110" spans="1:9" ht="11.25" customHeight="1">
      <c r="A1110" s="1853" t="s">
        <v>2247</v>
      </c>
      <c s="1853" t="s">
        <v>16</v>
      </c>
      <c s="1853" t="s">
        <v>3375</v>
      </c>
      <c s="1853" t="s">
        <v>3376</v>
      </c>
      <c s="1853" t="s">
        <v>3377</v>
      </c>
      <c s="1853" t="s">
        <v>2328</v>
      </c>
      <c s="1853" t="s">
        <v>22</v>
      </c>
      <c s="1853" t="s">
        <v>22</v>
      </c>
      <c s="1853" t="s">
        <v>907</v>
      </c>
    </row>
    <row r="1111" spans="1:9" ht="11.25" customHeight="1">
      <c r="A1111" s="1853" t="s">
        <v>2247</v>
      </c>
      <c s="1853" t="s">
        <v>16</v>
      </c>
      <c s="1853" t="s">
        <v>4632</v>
      </c>
      <c s="1853" t="s">
        <v>4633</v>
      </c>
      <c s="1853" t="s">
        <v>4634</v>
      </c>
      <c s="1853" t="s">
        <v>3388</v>
      </c>
      <c s="1853" t="s">
        <v>4635</v>
      </c>
      <c s="1853" t="s">
        <v>22</v>
      </c>
      <c s="1853" t="s">
        <v>907</v>
      </c>
    </row>
    <row r="1112" spans="1:9" ht="11.25" customHeight="1">
      <c r="A1112" s="1853" t="s">
        <v>2247</v>
      </c>
      <c s="1853" t="s">
        <v>16</v>
      </c>
      <c s="1853" t="s">
        <v>4636</v>
      </c>
      <c s="1853" t="s">
        <v>4637</v>
      </c>
      <c s="1853" t="s">
        <v>4638</v>
      </c>
      <c s="1853" t="s">
        <v>4639</v>
      </c>
      <c s="1853" t="s">
        <v>4640</v>
      </c>
      <c s="1853" t="s">
        <v>22</v>
      </c>
      <c s="1853" t="s">
        <v>907</v>
      </c>
    </row>
    <row r="1113" spans="1:9" ht="11.25" customHeight="1">
      <c r="A1113" s="1853" t="s">
        <v>2247</v>
      </c>
      <c s="1853" t="s">
        <v>16</v>
      </c>
      <c s="1853" t="s">
        <v>4641</v>
      </c>
      <c s="1853" t="s">
        <v>4642</v>
      </c>
      <c s="1853" t="s">
        <v>4643</v>
      </c>
      <c s="1853" t="s">
        <v>2731</v>
      </c>
      <c s="1853" t="s">
        <v>3803</v>
      </c>
      <c s="1853" t="s">
        <v>22</v>
      </c>
      <c s="1853" t="s">
        <v>907</v>
      </c>
    </row>
    <row r="1114" spans="1:9" ht="11.25" customHeight="1">
      <c r="A1114" s="1853" t="s">
        <v>2247</v>
      </c>
      <c s="1853" t="s">
        <v>16</v>
      </c>
      <c s="1853" t="s">
        <v>3390</v>
      </c>
      <c s="1853" t="s">
        <v>3391</v>
      </c>
      <c s="1853" t="s">
        <v>3392</v>
      </c>
      <c s="1853" t="s">
        <v>3393</v>
      </c>
      <c s="1853" t="s">
        <v>22</v>
      </c>
      <c s="1853" t="s">
        <v>22</v>
      </c>
      <c s="1853" t="s">
        <v>907</v>
      </c>
    </row>
    <row r="1115" spans="1:9" ht="11.25" customHeight="1">
      <c r="A1115" s="1853" t="s">
        <v>2247</v>
      </c>
      <c s="1853" t="s">
        <v>16</v>
      </c>
      <c s="1853" t="s">
        <v>3411</v>
      </c>
      <c s="1853" t="s">
        <v>3412</v>
      </c>
      <c s="1853" t="s">
        <v>3413</v>
      </c>
      <c s="1853" t="s">
        <v>2395</v>
      </c>
      <c s="1853" t="s">
        <v>3414</v>
      </c>
      <c s="1853" t="s">
        <v>22</v>
      </c>
      <c s="1853" t="s">
        <v>907</v>
      </c>
    </row>
    <row r="1116" spans="1:9" ht="11.25" customHeight="1">
      <c r="A1116" s="1853" t="s">
        <v>2247</v>
      </c>
      <c s="1853" t="s">
        <v>16</v>
      </c>
      <c s="1853" t="s">
        <v>3415</v>
      </c>
      <c s="1853" t="s">
        <v>3416</v>
      </c>
      <c s="1853" t="s">
        <v>3417</v>
      </c>
      <c s="1853" t="s">
        <v>51</v>
      </c>
      <c s="1853" t="s">
        <v>3418</v>
      </c>
      <c s="1853" t="s">
        <v>22</v>
      </c>
      <c s="1853" t="s">
        <v>907</v>
      </c>
    </row>
    <row r="1117" spans="1:9" ht="11.25" customHeight="1">
      <c r="A1117" s="1853" t="s">
        <v>2247</v>
      </c>
      <c s="1853" t="s">
        <v>16</v>
      </c>
      <c s="1853" t="s">
        <v>4655</v>
      </c>
      <c s="1853" t="s">
        <v>4656</v>
      </c>
      <c s="1853" t="s">
        <v>4657</v>
      </c>
      <c s="1853" t="s">
        <v>51</v>
      </c>
      <c s="1853" t="s">
        <v>4658</v>
      </c>
      <c s="1853" t="s">
        <v>22</v>
      </c>
      <c s="1853" t="s">
        <v>907</v>
      </c>
    </row>
    <row r="1118" spans="1:9" ht="11.25" customHeight="1">
      <c r="A1118" s="1853" t="s">
        <v>2247</v>
      </c>
      <c s="1853" t="s">
        <v>16</v>
      </c>
      <c s="1853" t="s">
        <v>3419</v>
      </c>
      <c s="1853" t="s">
        <v>3420</v>
      </c>
      <c s="1853" t="s">
        <v>3421</v>
      </c>
      <c s="1853" t="s">
        <v>2395</v>
      </c>
      <c s="1853" t="s">
        <v>2469</v>
      </c>
      <c s="1853" t="s">
        <v>22</v>
      </c>
      <c s="1853" t="s">
        <v>907</v>
      </c>
    </row>
    <row r="1119" spans="1:9" ht="11.25" customHeight="1">
      <c r="A1119" s="1853" t="s">
        <v>2247</v>
      </c>
      <c s="1853" t="s">
        <v>16</v>
      </c>
      <c s="1853" t="s">
        <v>4659</v>
      </c>
      <c s="1853" t="s">
        <v>4660</v>
      </c>
      <c s="1853" t="s">
        <v>4638</v>
      </c>
      <c s="1853" t="s">
        <v>51</v>
      </c>
      <c s="1853" t="s">
        <v>4661</v>
      </c>
      <c s="1853" t="s">
        <v>22</v>
      </c>
      <c s="1853" t="s">
        <v>907</v>
      </c>
    </row>
    <row r="1120" spans="1:9" ht="11.25" customHeight="1">
      <c r="A1120" s="1853" t="s">
        <v>2247</v>
      </c>
      <c s="1853" t="s">
        <v>16</v>
      </c>
      <c s="1853" t="s">
        <v>3434</v>
      </c>
      <c s="1853" t="s">
        <v>3435</v>
      </c>
      <c s="1853" t="s">
        <v>3436</v>
      </c>
      <c s="1853" t="s">
        <v>3437</v>
      </c>
      <c s="1853" t="s">
        <v>22</v>
      </c>
      <c s="1853" t="s">
        <v>22</v>
      </c>
      <c s="1853" t="s">
        <v>907</v>
      </c>
    </row>
    <row r="1121" spans="1:9" ht="11.25" customHeight="1">
      <c r="A1121" s="1853" t="s">
        <v>2247</v>
      </c>
      <c s="1853" t="s">
        <v>16</v>
      </c>
      <c s="1853" t="s">
        <v>4665</v>
      </c>
      <c s="1853" t="s">
        <v>4666</v>
      </c>
      <c s="1853" t="s">
        <v>4667</v>
      </c>
      <c s="1853" t="s">
        <v>3146</v>
      </c>
      <c s="1853" t="s">
        <v>4668</v>
      </c>
      <c s="1853" t="s">
        <v>22</v>
      </c>
      <c s="1853" t="s">
        <v>907</v>
      </c>
    </row>
    <row r="1122" spans="1:9" ht="11.25" customHeight="1">
      <c r="A1122" s="1853" t="s">
        <v>2247</v>
      </c>
      <c s="1853" t="s">
        <v>16</v>
      </c>
      <c s="1853" t="s">
        <v>3453</v>
      </c>
      <c s="1853" t="s">
        <v>3454</v>
      </c>
      <c s="1853" t="s">
        <v>3455</v>
      </c>
      <c s="1853" t="s">
        <v>51</v>
      </c>
      <c s="1853" t="s">
        <v>3456</v>
      </c>
      <c s="1853" t="s">
        <v>22</v>
      </c>
      <c s="1853" t="s">
        <v>907</v>
      </c>
    </row>
    <row r="1123" spans="1:9" ht="11.25" customHeight="1">
      <c r="A1123" s="1853" t="s">
        <v>2247</v>
      </c>
      <c s="1853" t="s">
        <v>16</v>
      </c>
      <c s="1853" t="s">
        <v>4669</v>
      </c>
      <c s="1853" t="s">
        <v>4670</v>
      </c>
      <c s="1853" t="s">
        <v>4671</v>
      </c>
      <c s="1853" t="s">
        <v>3146</v>
      </c>
      <c s="1853" t="s">
        <v>4672</v>
      </c>
      <c s="1853" t="s">
        <v>22</v>
      </c>
      <c s="1853" t="s">
        <v>907</v>
      </c>
    </row>
    <row r="1124" spans="1:9" ht="11.25" customHeight="1">
      <c r="A1124" s="1853" t="s">
        <v>2247</v>
      </c>
      <c s="1853" t="s">
        <v>16</v>
      </c>
      <c s="1853" t="s">
        <v>3457</v>
      </c>
      <c s="1853" t="s">
        <v>3458</v>
      </c>
      <c s="1853" t="s">
        <v>3459</v>
      </c>
      <c s="1853" t="s">
        <v>2499</v>
      </c>
      <c s="1853" t="s">
        <v>3460</v>
      </c>
      <c s="1853" t="s">
        <v>22</v>
      </c>
      <c s="1853" t="s">
        <v>907</v>
      </c>
    </row>
    <row r="1125" spans="1:9" ht="11.25" customHeight="1">
      <c r="A1125" s="1853" t="s">
        <v>2247</v>
      </c>
      <c s="1853" t="s">
        <v>16</v>
      </c>
      <c s="1853" t="s">
        <v>3473</v>
      </c>
      <c s="1853" t="s">
        <v>3474</v>
      </c>
      <c s="1853" t="s">
        <v>3475</v>
      </c>
      <c s="1853" t="s">
        <v>2395</v>
      </c>
      <c s="1853" t="s">
        <v>3476</v>
      </c>
      <c s="1853" t="s">
        <v>22</v>
      </c>
      <c s="1853" t="s">
        <v>907</v>
      </c>
    </row>
    <row r="1126" spans="1:9" ht="11.25" customHeight="1">
      <c r="A1126" s="1853" t="s">
        <v>2247</v>
      </c>
      <c s="1853" t="s">
        <v>16</v>
      </c>
      <c s="1853" t="s">
        <v>3491</v>
      </c>
      <c s="1853" t="s">
        <v>3492</v>
      </c>
      <c s="1853" t="s">
        <v>3366</v>
      </c>
      <c s="1853" t="s">
        <v>2328</v>
      </c>
      <c s="1853" t="s">
        <v>22</v>
      </c>
      <c s="1853" t="s">
        <v>22</v>
      </c>
      <c s="1853" t="s">
        <v>907</v>
      </c>
    </row>
    <row r="1127" spans="1:9" ht="11.25" customHeight="1">
      <c r="A1127" s="1853" t="s">
        <v>2247</v>
      </c>
      <c s="1853" t="s">
        <v>16</v>
      </c>
      <c s="1853" t="s">
        <v>3528</v>
      </c>
      <c s="1853" t="s">
        <v>3529</v>
      </c>
      <c s="1853" t="s">
        <v>3530</v>
      </c>
      <c s="1853" t="s">
        <v>3531</v>
      </c>
      <c s="1853" t="s">
        <v>22</v>
      </c>
      <c s="1853" t="s">
        <v>22</v>
      </c>
      <c s="1853" t="s">
        <v>907</v>
      </c>
    </row>
    <row r="1128" spans="1:9" ht="11.25" customHeight="1">
      <c r="A1128" s="1853" t="s">
        <v>2247</v>
      </c>
      <c s="1853" t="s">
        <v>16</v>
      </c>
      <c s="1853" t="s">
        <v>3537</v>
      </c>
      <c s="1853" t="s">
        <v>3538</v>
      </c>
      <c s="1853" t="s">
        <v>2286</v>
      </c>
      <c s="1853" t="s">
        <v>3539</v>
      </c>
      <c s="1853" t="s">
        <v>22</v>
      </c>
      <c s="1853" t="s">
        <v>22</v>
      </c>
      <c s="1853" t="s">
        <v>907</v>
      </c>
    </row>
    <row r="1129" spans="1:9" ht="11.25" customHeight="1">
      <c r="A1129" s="1853" t="s">
        <v>2247</v>
      </c>
      <c s="1853" t="s">
        <v>16</v>
      </c>
      <c s="1853" t="s">
        <v>4858</v>
      </c>
      <c s="1853" t="s">
        <v>4859</v>
      </c>
      <c s="1853" t="s">
        <v>4860</v>
      </c>
      <c s="1853" t="s">
        <v>2620</v>
      </c>
      <c s="1853" t="s">
        <v>3979</v>
      </c>
      <c s="1853" t="s">
        <v>22</v>
      </c>
      <c s="1853" t="s">
        <v>1619</v>
      </c>
    </row>
    <row r="1130" spans="1:9" ht="11.25" customHeight="1">
      <c r="A1130" s="1853" t="s">
        <v>2247</v>
      </c>
      <c s="1853" t="s">
        <v>16</v>
      </c>
      <c s="1853" t="s">
        <v>4861</v>
      </c>
      <c s="1853" t="s">
        <v>4862</v>
      </c>
      <c s="1853" t="s">
        <v>4863</v>
      </c>
      <c s="1853" t="s">
        <v>2395</v>
      </c>
      <c s="1853" t="s">
        <v>4864</v>
      </c>
      <c s="1853" t="s">
        <v>22</v>
      </c>
      <c s="1853" t="s">
        <v>1619</v>
      </c>
    </row>
    <row r="1131" spans="1:9" ht="11.25" customHeight="1">
      <c r="A1131" s="1853" t="s">
        <v>2247</v>
      </c>
      <c s="1853" t="s">
        <v>16</v>
      </c>
      <c s="1853" t="s">
        <v>4865</v>
      </c>
      <c s="1853" t="s">
        <v>4866</v>
      </c>
      <c s="1853" t="s">
        <v>4867</v>
      </c>
      <c s="1853" t="s">
        <v>2301</v>
      </c>
      <c s="1853" t="s">
        <v>4868</v>
      </c>
      <c s="1853" t="s">
        <v>22</v>
      </c>
      <c s="1853" t="s">
        <v>1619</v>
      </c>
    </row>
    <row r="1132" spans="1:9" ht="11.25" customHeight="1">
      <c r="A1132" s="1853" t="s">
        <v>2247</v>
      </c>
      <c s="1853" t="s">
        <v>16</v>
      </c>
      <c s="1853" t="s">
        <v>4869</v>
      </c>
      <c s="1853" t="s">
        <v>4870</v>
      </c>
      <c s="1853" t="s">
        <v>4871</v>
      </c>
      <c s="1853" t="s">
        <v>2301</v>
      </c>
      <c s="1853" t="s">
        <v>22</v>
      </c>
      <c s="1853" t="s">
        <v>22</v>
      </c>
      <c s="1853" t="s">
        <v>1619</v>
      </c>
    </row>
    <row r="1133" spans="1:9" ht="11.25" customHeight="1">
      <c r="A1133" s="1853" t="s">
        <v>2247</v>
      </c>
      <c s="1853" t="s">
        <v>16</v>
      </c>
      <c s="1853" t="s">
        <v>3637</v>
      </c>
      <c s="1853" t="s">
        <v>3638</v>
      </c>
      <c s="1853" t="s">
        <v>3639</v>
      </c>
      <c s="1853" t="s">
        <v>2680</v>
      </c>
      <c s="1853" t="s">
        <v>22</v>
      </c>
      <c s="1853" t="s">
        <v>22</v>
      </c>
      <c s="1853" t="s">
        <v>1619</v>
      </c>
    </row>
    <row r="1134" spans="1:9" ht="11.25" customHeight="1">
      <c r="A1134" s="1853" t="s">
        <v>2247</v>
      </c>
      <c s="1853" t="s">
        <v>16</v>
      </c>
      <c s="1853" t="s">
        <v>22</v>
      </c>
      <c s="1853" t="s">
        <v>2480</v>
      </c>
      <c s="1853" t="s">
        <v>2481</v>
      </c>
      <c s="1853" t="s">
        <v>2256</v>
      </c>
      <c s="1853" t="s">
        <v>22</v>
      </c>
      <c s="1853" t="s">
        <v>22</v>
      </c>
      <c s="1853" t="s">
        <v>1619</v>
      </c>
    </row>
    <row r="1135" spans="1:9" ht="11.25" customHeight="1">
      <c r="A1135" s="1853" t="s">
        <v>2247</v>
      </c>
      <c s="1853" t="s">
        <v>16</v>
      </c>
      <c s="1853" t="s">
        <v>4872</v>
      </c>
      <c s="1853" t="s">
        <v>4873</v>
      </c>
      <c s="1853" t="s">
        <v>4874</v>
      </c>
      <c s="1853" t="s">
        <v>575</v>
      </c>
      <c s="1853" t="s">
        <v>4875</v>
      </c>
      <c s="1853" t="s">
        <v>22</v>
      </c>
      <c s="1853" t="s">
        <v>1619</v>
      </c>
    </row>
    <row r="1136" spans="1:9" ht="11.25" customHeight="1">
      <c r="A1136" s="1853" t="s">
        <v>2247</v>
      </c>
      <c s="1853" t="s">
        <v>16</v>
      </c>
      <c s="1853" t="s">
        <v>4876</v>
      </c>
      <c s="1853" t="s">
        <v>4877</v>
      </c>
      <c s="1853" t="s">
        <v>4878</v>
      </c>
      <c s="1853" t="s">
        <v>575</v>
      </c>
      <c s="1853" t="s">
        <v>4879</v>
      </c>
      <c s="1853" t="s">
        <v>22</v>
      </c>
      <c s="1853" t="s">
        <v>1619</v>
      </c>
    </row>
    <row r="1137" spans="1:9" ht="11.25" customHeight="1">
      <c r="A1137" s="1853" t="s">
        <v>2247</v>
      </c>
      <c s="1853" t="s">
        <v>16</v>
      </c>
      <c s="1853" t="s">
        <v>4880</v>
      </c>
      <c s="1853" t="s">
        <v>4881</v>
      </c>
      <c s="1853" t="s">
        <v>4882</v>
      </c>
      <c s="1853" t="s">
        <v>575</v>
      </c>
      <c s="1853" t="s">
        <v>4883</v>
      </c>
      <c s="1853" t="s">
        <v>22</v>
      </c>
      <c s="1853" t="s">
        <v>1619</v>
      </c>
    </row>
    <row r="1138" spans="1:9" ht="11.25" customHeight="1">
      <c r="A1138" s="1853" t="s">
        <v>2247</v>
      </c>
      <c s="1853" t="s">
        <v>16</v>
      </c>
      <c s="1853" t="s">
        <v>4884</v>
      </c>
      <c s="1853" t="s">
        <v>4885</v>
      </c>
      <c s="1853" t="s">
        <v>4886</v>
      </c>
      <c s="1853" t="s">
        <v>575</v>
      </c>
      <c s="1853" t="s">
        <v>4887</v>
      </c>
      <c s="1853" t="s">
        <v>22</v>
      </c>
      <c s="1853" t="s">
        <v>1619</v>
      </c>
    </row>
    <row r="1139" spans="1:9" ht="11.25" customHeight="1">
      <c r="A1139" s="1853" t="s">
        <v>2247</v>
      </c>
      <c s="1853" t="s">
        <v>16</v>
      </c>
      <c s="1853" t="s">
        <v>4888</v>
      </c>
      <c s="1853" t="s">
        <v>4889</v>
      </c>
      <c s="1853" t="s">
        <v>4890</v>
      </c>
      <c s="1853" t="s">
        <v>575</v>
      </c>
      <c s="1853" t="s">
        <v>4891</v>
      </c>
      <c s="1853" t="s">
        <v>22</v>
      </c>
      <c s="1853" t="s">
        <v>1619</v>
      </c>
    </row>
    <row r="1140" spans="1:9" ht="11.25" customHeight="1">
      <c r="A1140" s="1853" t="s">
        <v>2247</v>
      </c>
      <c s="1853" t="s">
        <v>16</v>
      </c>
      <c s="1853" t="s">
        <v>4892</v>
      </c>
      <c s="1853" t="s">
        <v>4893</v>
      </c>
      <c s="1853" t="s">
        <v>4894</v>
      </c>
      <c s="1853" t="s">
        <v>2328</v>
      </c>
      <c s="1853" t="s">
        <v>22</v>
      </c>
      <c s="1853" t="s">
        <v>22</v>
      </c>
      <c s="1853" t="s">
        <v>1619</v>
      </c>
    </row>
    <row r="1141" spans="1:9" ht="11.25" customHeight="1">
      <c r="A1141" s="1853" t="s">
        <v>2247</v>
      </c>
      <c s="1853" t="s">
        <v>16</v>
      </c>
      <c s="1853" t="s">
        <v>4895</v>
      </c>
      <c s="1853" t="s">
        <v>4896</v>
      </c>
      <c s="1853" t="s">
        <v>4897</v>
      </c>
      <c s="1853" t="s">
        <v>2489</v>
      </c>
      <c s="1853" t="s">
        <v>4898</v>
      </c>
      <c s="1853" t="s">
        <v>22</v>
      </c>
      <c s="1853" t="s">
        <v>1619</v>
      </c>
    </row>
    <row r="1142" spans="1:9" ht="11.25" customHeight="1">
      <c r="A1142" s="1853" t="s">
        <v>2247</v>
      </c>
      <c s="1853" t="s">
        <v>16</v>
      </c>
      <c s="1853" t="s">
        <v>4899</v>
      </c>
      <c s="1853" t="s">
        <v>4900</v>
      </c>
      <c s="1853" t="s">
        <v>4901</v>
      </c>
      <c s="1853" t="s">
        <v>3169</v>
      </c>
      <c s="1853" t="s">
        <v>4902</v>
      </c>
      <c s="1853" t="s">
        <v>4903</v>
      </c>
      <c s="1853" t="s">
        <v>1619</v>
      </c>
    </row>
    <row r="1143" spans="1:9" ht="11.25" customHeight="1">
      <c r="A1143" s="1853" t="s">
        <v>2247</v>
      </c>
      <c s="1853" t="s">
        <v>16</v>
      </c>
      <c s="1853" t="s">
        <v>4904</v>
      </c>
      <c s="1853" t="s">
        <v>4905</v>
      </c>
      <c s="1853" t="s">
        <v>4906</v>
      </c>
      <c s="1853" t="s">
        <v>2680</v>
      </c>
      <c s="1853" t="s">
        <v>4907</v>
      </c>
      <c s="1853" t="s">
        <v>22</v>
      </c>
      <c s="1853" t="s">
        <v>1619</v>
      </c>
    </row>
    <row r="1144" spans="1:9" ht="11.25" customHeight="1">
      <c r="A1144" s="1853" t="s">
        <v>2247</v>
      </c>
      <c s="1853" t="s">
        <v>16</v>
      </c>
      <c s="1853" t="s">
        <v>4908</v>
      </c>
      <c s="1853" t="s">
        <v>4909</v>
      </c>
      <c s="1853" t="s">
        <v>4910</v>
      </c>
      <c s="1853" t="s">
        <v>2503</v>
      </c>
      <c s="1853" t="s">
        <v>22</v>
      </c>
      <c s="1853" t="s">
        <v>22</v>
      </c>
      <c s="1853" t="s">
        <v>1619</v>
      </c>
    </row>
    <row r="1145" spans="1:9" ht="11.25" customHeight="1">
      <c r="A1145" s="1853" t="s">
        <v>2247</v>
      </c>
      <c s="1853" t="s">
        <v>16</v>
      </c>
      <c s="1853" t="s">
        <v>4911</v>
      </c>
      <c s="1853" t="s">
        <v>4912</v>
      </c>
      <c s="1853" t="s">
        <v>4913</v>
      </c>
      <c s="1853" t="s">
        <v>2680</v>
      </c>
      <c s="1853" t="s">
        <v>22</v>
      </c>
      <c s="1853" t="s">
        <v>22</v>
      </c>
      <c s="1853" t="s">
        <v>1619</v>
      </c>
    </row>
    <row r="1146" spans="1:9" ht="11.25" customHeight="1">
      <c r="A1146" s="1853" t="s">
        <v>2247</v>
      </c>
      <c s="1853" t="s">
        <v>16</v>
      </c>
      <c s="1853" t="s">
        <v>4033</v>
      </c>
      <c s="1853" t="s">
        <v>4034</v>
      </c>
      <c s="1853" t="s">
        <v>4035</v>
      </c>
      <c s="1853" t="s">
        <v>2588</v>
      </c>
      <c s="1853" t="s">
        <v>4036</v>
      </c>
      <c s="1853" t="s">
        <v>22</v>
      </c>
      <c s="1853" t="s">
        <v>1619</v>
      </c>
    </row>
    <row r="1147" spans="1:9" ht="11.25" customHeight="1">
      <c r="A1147" s="1853" t="s">
        <v>2247</v>
      </c>
      <c s="1853" t="s">
        <v>16</v>
      </c>
      <c s="1853" t="s">
        <v>4914</v>
      </c>
      <c s="1853" t="s">
        <v>4915</v>
      </c>
      <c s="1853" t="s">
        <v>4916</v>
      </c>
      <c s="1853" t="s">
        <v>2680</v>
      </c>
      <c s="1853" t="s">
        <v>22</v>
      </c>
      <c s="1853" t="s">
        <v>22</v>
      </c>
      <c s="1853" t="s">
        <v>1619</v>
      </c>
    </row>
    <row r="1148" spans="1:9" ht="11.25" customHeight="1">
      <c r="A1148" s="1853" t="s">
        <v>2247</v>
      </c>
      <c s="1853" t="s">
        <v>16</v>
      </c>
      <c s="1853" t="s">
        <v>4917</v>
      </c>
      <c s="1853" t="s">
        <v>4918</v>
      </c>
      <c s="1853" t="s">
        <v>4919</v>
      </c>
      <c s="1853" t="s">
        <v>2596</v>
      </c>
      <c s="1853" t="s">
        <v>4920</v>
      </c>
      <c s="1853" t="s">
        <v>4050</v>
      </c>
      <c s="1853" t="s">
        <v>1619</v>
      </c>
    </row>
    <row r="1149" spans="1:9" ht="11.25" customHeight="1">
      <c r="A1149" s="1853" t="s">
        <v>2247</v>
      </c>
      <c s="1853" t="s">
        <v>16</v>
      </c>
      <c s="1853" t="s">
        <v>4921</v>
      </c>
      <c s="1853" t="s">
        <v>2695</v>
      </c>
      <c s="1853" t="s">
        <v>4922</v>
      </c>
      <c s="1853" t="s">
        <v>3615</v>
      </c>
      <c s="1853" t="s">
        <v>22</v>
      </c>
      <c s="1853" t="s">
        <v>22</v>
      </c>
      <c s="1853" t="s">
        <v>1619</v>
      </c>
    </row>
    <row r="1150" spans="1:9" ht="11.25" customHeight="1">
      <c r="A1150" s="1853" t="s">
        <v>2247</v>
      </c>
      <c s="1853" t="s">
        <v>16</v>
      </c>
      <c s="1853" t="s">
        <v>4923</v>
      </c>
      <c s="1853" t="s">
        <v>4924</v>
      </c>
      <c s="1853" t="s">
        <v>4925</v>
      </c>
      <c s="1853" t="s">
        <v>2391</v>
      </c>
      <c s="1853" t="s">
        <v>4926</v>
      </c>
      <c s="1853" t="s">
        <v>22</v>
      </c>
      <c s="1853" t="s">
        <v>1619</v>
      </c>
    </row>
    <row r="1151" spans="1:9" ht="11.25" customHeight="1">
      <c r="A1151" s="1853" t="s">
        <v>2247</v>
      </c>
      <c s="1853" t="s">
        <v>16</v>
      </c>
      <c s="1853" t="s">
        <v>4232</v>
      </c>
      <c s="1853" t="s">
        <v>4233</v>
      </c>
      <c s="1853" t="s">
        <v>4234</v>
      </c>
      <c s="1853" t="s">
        <v>2382</v>
      </c>
      <c s="1853" t="s">
        <v>4235</v>
      </c>
      <c s="1853" t="s">
        <v>22</v>
      </c>
      <c s="1853" t="s">
        <v>1619</v>
      </c>
    </row>
    <row r="1152" spans="1:9" ht="11.25" customHeight="1">
      <c r="A1152" s="1853" t="s">
        <v>2247</v>
      </c>
      <c s="1853" t="s">
        <v>16</v>
      </c>
      <c s="1853" t="s">
        <v>4927</v>
      </c>
      <c s="1853" t="s">
        <v>4928</v>
      </c>
      <c s="1853" t="s">
        <v>4929</v>
      </c>
      <c s="1853" t="s">
        <v>2680</v>
      </c>
      <c s="1853" t="s">
        <v>22</v>
      </c>
      <c s="1853" t="s">
        <v>22</v>
      </c>
      <c s="1853" t="s">
        <v>1619</v>
      </c>
    </row>
    <row r="1153" spans="1:9" ht="11.25" customHeight="1">
      <c r="A1153" s="1853" t="s">
        <v>2247</v>
      </c>
      <c s="1853" t="s">
        <v>16</v>
      </c>
      <c s="1853" t="s">
        <v>4930</v>
      </c>
      <c s="1853" t="s">
        <v>4931</v>
      </c>
      <c s="1853" t="s">
        <v>4932</v>
      </c>
      <c s="1853" t="s">
        <v>2391</v>
      </c>
      <c s="1853" t="s">
        <v>4114</v>
      </c>
      <c s="1853" t="s">
        <v>4933</v>
      </c>
      <c s="1853" t="s">
        <v>1619</v>
      </c>
    </row>
    <row r="1154" spans="1:9" ht="11.25" customHeight="1">
      <c r="A1154" s="1853" t="s">
        <v>2247</v>
      </c>
      <c s="1853" t="s">
        <v>16</v>
      </c>
      <c s="1853" t="s">
        <v>4934</v>
      </c>
      <c s="1853" t="s">
        <v>4935</v>
      </c>
      <c s="1853" t="s">
        <v>4936</v>
      </c>
      <c s="1853" t="s">
        <v>3234</v>
      </c>
      <c s="1853" t="s">
        <v>4937</v>
      </c>
      <c s="1853" t="s">
        <v>22</v>
      </c>
      <c s="1853" t="s">
        <v>1619</v>
      </c>
    </row>
    <row r="1155" spans="1:9" ht="11.25" customHeight="1">
      <c r="A1155" s="1853" t="s">
        <v>2247</v>
      </c>
      <c s="1853" t="s">
        <v>16</v>
      </c>
      <c s="1853" t="s">
        <v>4938</v>
      </c>
      <c s="1853" t="s">
        <v>4939</v>
      </c>
      <c s="1853" t="s">
        <v>4940</v>
      </c>
      <c s="1853" t="s">
        <v>2454</v>
      </c>
      <c s="1853" t="s">
        <v>4941</v>
      </c>
      <c s="1853" t="s">
        <v>22</v>
      </c>
      <c s="1853" t="s">
        <v>1619</v>
      </c>
    </row>
    <row r="1156" spans="1:9" ht="11.25" customHeight="1">
      <c r="A1156" s="1853" t="s">
        <v>2247</v>
      </c>
      <c s="1853" t="s">
        <v>16</v>
      </c>
      <c s="1853" t="s">
        <v>4942</v>
      </c>
      <c s="1853" t="s">
        <v>4943</v>
      </c>
      <c s="1853" t="s">
        <v>4944</v>
      </c>
      <c s="1853" t="s">
        <v>4945</v>
      </c>
      <c s="1853" t="s">
        <v>22</v>
      </c>
      <c s="1853" t="s">
        <v>22</v>
      </c>
      <c s="1853" t="s">
        <v>1619</v>
      </c>
    </row>
    <row r="1157" spans="1:9" ht="11.25" customHeight="1">
      <c r="A1157" s="1853" t="s">
        <v>2247</v>
      </c>
      <c s="1853" t="s">
        <v>16</v>
      </c>
      <c s="1853" t="s">
        <v>4946</v>
      </c>
      <c s="1853" t="s">
        <v>4947</v>
      </c>
      <c s="1853" t="s">
        <v>4948</v>
      </c>
      <c s="1853" t="s">
        <v>2716</v>
      </c>
      <c s="1853" t="s">
        <v>4949</v>
      </c>
      <c s="1853" t="s">
        <v>22</v>
      </c>
      <c s="1853" t="s">
        <v>1619</v>
      </c>
    </row>
    <row r="1158" spans="1:9" ht="11.25" customHeight="1">
      <c r="A1158" s="1853" t="s">
        <v>2247</v>
      </c>
      <c s="1853" t="s">
        <v>16</v>
      </c>
      <c s="1853" t="s">
        <v>4950</v>
      </c>
      <c s="1853" t="s">
        <v>4951</v>
      </c>
      <c s="1853" t="s">
        <v>4952</v>
      </c>
      <c s="1853" t="s">
        <v>4953</v>
      </c>
      <c s="1853" t="s">
        <v>4954</v>
      </c>
      <c s="1853" t="s">
        <v>22</v>
      </c>
      <c s="1853" t="s">
        <v>1619</v>
      </c>
    </row>
    <row r="1159" spans="1:9" ht="11.25" customHeight="1">
      <c r="A1159" s="1853" t="s">
        <v>2247</v>
      </c>
      <c s="1853" t="s">
        <v>16</v>
      </c>
      <c s="1853" t="s">
        <v>4955</v>
      </c>
      <c s="1853" t="s">
        <v>4956</v>
      </c>
      <c s="1853" t="s">
        <v>4957</v>
      </c>
      <c s="1853" t="s">
        <v>2328</v>
      </c>
      <c s="1853" t="s">
        <v>22</v>
      </c>
      <c s="1853" t="s">
        <v>22</v>
      </c>
      <c s="1853" t="s">
        <v>1619</v>
      </c>
    </row>
    <row r="1160" spans="1:9" ht="11.25" customHeight="1">
      <c r="A1160" s="1853" t="s">
        <v>2247</v>
      </c>
      <c s="1853" t="s">
        <v>16</v>
      </c>
      <c s="1853" t="s">
        <v>4958</v>
      </c>
      <c s="1853" t="s">
        <v>4959</v>
      </c>
      <c s="1853" t="s">
        <v>4960</v>
      </c>
      <c s="1853" t="s">
        <v>2328</v>
      </c>
      <c s="1853" t="s">
        <v>4961</v>
      </c>
      <c s="1853" t="s">
        <v>22</v>
      </c>
      <c s="1853" t="s">
        <v>1619</v>
      </c>
    </row>
    <row r="1161" spans="1:9" ht="11.25" customHeight="1">
      <c r="A1161" s="1853" t="s">
        <v>2247</v>
      </c>
      <c s="1853" t="s">
        <v>16</v>
      </c>
      <c s="1853" t="s">
        <v>4448</v>
      </c>
      <c s="1853" t="s">
        <v>4445</v>
      </c>
      <c s="1853" t="s">
        <v>4449</v>
      </c>
      <c s="1853" t="s">
        <v>2604</v>
      </c>
      <c s="1853" t="s">
        <v>22</v>
      </c>
      <c s="1853" t="s">
        <v>22</v>
      </c>
      <c s="1853" t="s">
        <v>1619</v>
      </c>
    </row>
    <row r="1162" spans="1:9" ht="11.25" customHeight="1">
      <c r="A1162" s="1853" t="s">
        <v>2247</v>
      </c>
      <c s="1853" t="s">
        <v>16</v>
      </c>
      <c s="1853" t="s">
        <v>4962</v>
      </c>
      <c s="1853" t="s">
        <v>4963</v>
      </c>
      <c s="1853" t="s">
        <v>4964</v>
      </c>
      <c s="1853" t="s">
        <v>2639</v>
      </c>
      <c s="1853" t="s">
        <v>4965</v>
      </c>
      <c s="1853" t="s">
        <v>22</v>
      </c>
      <c s="1853" t="s">
        <v>1619</v>
      </c>
    </row>
    <row r="1163" spans="1:9" ht="11.25" customHeight="1">
      <c r="A1163" s="1853" t="s">
        <v>2247</v>
      </c>
      <c s="1853" t="s">
        <v>16</v>
      </c>
      <c s="1853" t="s">
        <v>4966</v>
      </c>
      <c s="1853" t="s">
        <v>4967</v>
      </c>
      <c s="1853" t="s">
        <v>4968</v>
      </c>
      <c s="1853" t="s">
        <v>4969</v>
      </c>
      <c s="1853" t="s">
        <v>4970</v>
      </c>
      <c s="1853" t="s">
        <v>22</v>
      </c>
      <c s="1853" t="s">
        <v>1619</v>
      </c>
    </row>
    <row r="1164" spans="1:9" ht="11.25" customHeight="1">
      <c r="A1164" s="1853" t="s">
        <v>2247</v>
      </c>
      <c s="1853" t="s">
        <v>16</v>
      </c>
      <c s="1853" t="s">
        <v>4971</v>
      </c>
      <c s="1853" t="s">
        <v>4972</v>
      </c>
      <c s="1853" t="s">
        <v>4973</v>
      </c>
      <c s="1853" t="s">
        <v>2328</v>
      </c>
      <c s="1853" t="s">
        <v>4974</v>
      </c>
      <c s="1853" t="s">
        <v>22</v>
      </c>
      <c s="1853" t="s">
        <v>1619</v>
      </c>
    </row>
    <row r="1165" spans="1:9" ht="11.25" customHeight="1">
      <c r="A1165" s="1853" t="s">
        <v>2247</v>
      </c>
      <c s="1853" t="s">
        <v>16</v>
      </c>
      <c s="1853" t="s">
        <v>4975</v>
      </c>
      <c s="1853" t="s">
        <v>4976</v>
      </c>
      <c s="1853" t="s">
        <v>4977</v>
      </c>
      <c s="1853" t="s">
        <v>4978</v>
      </c>
      <c s="1853" t="s">
        <v>22</v>
      </c>
      <c s="1853" t="s">
        <v>22</v>
      </c>
      <c s="1853" t="s">
        <v>1619</v>
      </c>
    </row>
    <row r="1166" spans="1:9" ht="11.25" customHeight="1">
      <c r="A1166" s="1853" t="s">
        <v>2247</v>
      </c>
      <c s="1853" t="s">
        <v>16</v>
      </c>
      <c s="1853" t="s">
        <v>4480</v>
      </c>
      <c s="1853" t="s">
        <v>4481</v>
      </c>
      <c s="1853" t="s">
        <v>4482</v>
      </c>
      <c s="1853" t="s">
        <v>2328</v>
      </c>
      <c s="1853" t="s">
        <v>4483</v>
      </c>
      <c s="1853" t="s">
        <v>22</v>
      </c>
      <c s="1853" t="s">
        <v>1619</v>
      </c>
    </row>
    <row r="1167" spans="1:9" ht="11.25" customHeight="1">
      <c r="A1167" s="1853" t="s">
        <v>2247</v>
      </c>
      <c s="1853" t="s">
        <v>16</v>
      </c>
      <c s="1853" t="s">
        <v>4979</v>
      </c>
      <c s="1853" t="s">
        <v>4980</v>
      </c>
      <c s="1853" t="s">
        <v>4981</v>
      </c>
      <c s="1853" t="s">
        <v>51</v>
      </c>
      <c s="1853" t="s">
        <v>4982</v>
      </c>
      <c s="1853" t="s">
        <v>22</v>
      </c>
      <c s="1853" t="s">
        <v>1619</v>
      </c>
    </row>
    <row r="1168" spans="1:9" ht="11.25" customHeight="1">
      <c r="A1168" s="1853" t="s">
        <v>2247</v>
      </c>
      <c s="1853" t="s">
        <v>16</v>
      </c>
      <c s="1853" t="s">
        <v>4983</v>
      </c>
      <c s="1853" t="s">
        <v>4984</v>
      </c>
      <c s="1853" t="s">
        <v>4985</v>
      </c>
      <c s="1853" t="s">
        <v>2256</v>
      </c>
      <c s="1853" t="s">
        <v>4986</v>
      </c>
      <c s="1853" t="s">
        <v>22</v>
      </c>
      <c s="1853" t="s">
        <v>1619</v>
      </c>
    </row>
    <row r="1169" spans="1:9" ht="11.25" customHeight="1">
      <c r="A1169" s="1853" t="s">
        <v>2247</v>
      </c>
      <c s="1853" t="s">
        <v>16</v>
      </c>
      <c s="1853" t="s">
        <v>4987</v>
      </c>
      <c s="1853" t="s">
        <v>4988</v>
      </c>
      <c s="1853" t="s">
        <v>4989</v>
      </c>
      <c s="1853" t="s">
        <v>4990</v>
      </c>
      <c s="1853" t="s">
        <v>4991</v>
      </c>
      <c s="1853" t="s">
        <v>22</v>
      </c>
      <c s="1853" t="s">
        <v>1619</v>
      </c>
    </row>
    <row r="1170" spans="1:9" ht="11.25" customHeight="1">
      <c r="A1170" s="1853" t="s">
        <v>2247</v>
      </c>
      <c s="1853" t="s">
        <v>16</v>
      </c>
      <c s="1853" t="s">
        <v>4992</v>
      </c>
      <c s="1853" t="s">
        <v>4993</v>
      </c>
      <c s="1853" t="s">
        <v>4994</v>
      </c>
      <c s="1853" t="s">
        <v>4995</v>
      </c>
      <c s="1853" t="s">
        <v>4996</v>
      </c>
      <c s="1853" t="s">
        <v>22</v>
      </c>
      <c s="1853" t="s">
        <v>1619</v>
      </c>
    </row>
    <row r="1171" spans="1:9" ht="11.25" customHeight="1">
      <c r="A1171" s="1853" t="s">
        <v>2247</v>
      </c>
      <c s="1853" t="s">
        <v>16</v>
      </c>
      <c s="1853" t="s">
        <v>4997</v>
      </c>
      <c s="1853" t="s">
        <v>4998</v>
      </c>
      <c s="1853" t="s">
        <v>4999</v>
      </c>
      <c s="1853" t="s">
        <v>2328</v>
      </c>
      <c s="1853" t="s">
        <v>22</v>
      </c>
      <c s="1853" t="s">
        <v>22</v>
      </c>
      <c s="1853" t="s">
        <v>1619</v>
      </c>
    </row>
    <row r="1172" spans="1:9" ht="11.25" customHeight="1">
      <c r="A1172" s="1853" t="s">
        <v>2247</v>
      </c>
      <c s="1853" t="s">
        <v>16</v>
      </c>
      <c s="1853" t="s">
        <v>5000</v>
      </c>
      <c s="1853" t="s">
        <v>5001</v>
      </c>
      <c s="1853" t="s">
        <v>5002</v>
      </c>
      <c s="1853" t="s">
        <v>5003</v>
      </c>
      <c s="1853" t="s">
        <v>5004</v>
      </c>
      <c s="1853" t="s">
        <v>22</v>
      </c>
      <c s="1853" t="s">
        <v>1619</v>
      </c>
    </row>
    <row r="1173" spans="1:9" ht="11.25" customHeight="1">
      <c r="A1173" s="1853" t="s">
        <v>2247</v>
      </c>
      <c s="1853" t="s">
        <v>16</v>
      </c>
      <c s="1853" t="s">
        <v>5005</v>
      </c>
      <c s="1853" t="s">
        <v>5006</v>
      </c>
      <c s="1853" t="s">
        <v>5007</v>
      </c>
      <c s="1853" t="s">
        <v>51</v>
      </c>
      <c s="1853" t="s">
        <v>5008</v>
      </c>
      <c s="1853" t="s">
        <v>22</v>
      </c>
      <c s="1853" t="s">
        <v>1619</v>
      </c>
    </row>
    <row r="1174" spans="1:9" ht="11.25" customHeight="1">
      <c r="A1174" s="1853" t="s">
        <v>2247</v>
      </c>
      <c s="1853" t="s">
        <v>16</v>
      </c>
      <c s="1853" t="s">
        <v>5009</v>
      </c>
      <c s="1853" t="s">
        <v>5010</v>
      </c>
      <c s="1853" t="s">
        <v>5011</v>
      </c>
      <c s="1853" t="s">
        <v>2693</v>
      </c>
      <c s="1853" t="s">
        <v>5012</v>
      </c>
      <c s="1853" t="s">
        <v>22</v>
      </c>
      <c s="1853" t="s">
        <v>1619</v>
      </c>
    </row>
    <row r="1175" spans="1:9" ht="11.25" customHeight="1">
      <c r="A1175" s="1853" t="s">
        <v>2247</v>
      </c>
      <c s="1853" t="s">
        <v>16</v>
      </c>
      <c s="1853" t="s">
        <v>5013</v>
      </c>
      <c s="1853" t="s">
        <v>5014</v>
      </c>
      <c s="1853" t="s">
        <v>5015</v>
      </c>
      <c s="1853" t="s">
        <v>2328</v>
      </c>
      <c s="1853" t="s">
        <v>22</v>
      </c>
      <c s="1853" t="s">
        <v>22</v>
      </c>
      <c s="1853" t="s">
        <v>1619</v>
      </c>
    </row>
    <row r="1176" spans="1:9" ht="11.25" customHeight="1">
      <c r="A1176" s="1853" t="s">
        <v>2247</v>
      </c>
      <c s="1853" t="s">
        <v>16</v>
      </c>
      <c s="1853" t="s">
        <v>5016</v>
      </c>
      <c s="1853" t="s">
        <v>5017</v>
      </c>
      <c s="1853" t="s">
        <v>5018</v>
      </c>
      <c s="1853" t="s">
        <v>5019</v>
      </c>
      <c s="1853" t="s">
        <v>5020</v>
      </c>
      <c s="1853" t="s">
        <v>22</v>
      </c>
      <c s="1853" t="s">
        <v>1619</v>
      </c>
    </row>
    <row r="1177" spans="1:9" ht="11.25" customHeight="1">
      <c r="A1177" s="1853" t="s">
        <v>2247</v>
      </c>
      <c s="1853" t="s">
        <v>16</v>
      </c>
      <c s="1853" t="s">
        <v>5021</v>
      </c>
      <c s="1853" t="s">
        <v>5022</v>
      </c>
      <c s="1853" t="s">
        <v>5023</v>
      </c>
      <c s="1853" t="s">
        <v>2604</v>
      </c>
      <c s="1853" t="s">
        <v>22</v>
      </c>
      <c s="1853" t="s">
        <v>22</v>
      </c>
      <c s="1853" t="s">
        <v>1619</v>
      </c>
    </row>
    <row r="1178" spans="1:9" ht="11.25" customHeight="1">
      <c r="A1178" s="1853" t="s">
        <v>2247</v>
      </c>
      <c s="1853" t="s">
        <v>16</v>
      </c>
      <c s="1853" t="s">
        <v>5024</v>
      </c>
      <c s="1853" t="s">
        <v>5025</v>
      </c>
      <c s="1853" t="s">
        <v>5026</v>
      </c>
      <c s="1853" t="s">
        <v>2328</v>
      </c>
      <c s="1853" t="s">
        <v>5027</v>
      </c>
      <c s="1853" t="s">
        <v>22</v>
      </c>
      <c s="1853" t="s">
        <v>1619</v>
      </c>
    </row>
    <row r="1179" spans="1:9" ht="11.25" customHeight="1">
      <c r="A1179" s="1853" t="s">
        <v>2247</v>
      </c>
      <c s="1853" t="s">
        <v>16</v>
      </c>
      <c s="1853" t="s">
        <v>5028</v>
      </c>
      <c s="1853" t="s">
        <v>5029</v>
      </c>
      <c s="1853" t="s">
        <v>5030</v>
      </c>
      <c s="1853" t="s">
        <v>2632</v>
      </c>
      <c s="1853" t="s">
        <v>5031</v>
      </c>
      <c s="1853" t="s">
        <v>22</v>
      </c>
      <c s="1853" t="s">
        <v>1619</v>
      </c>
    </row>
    <row r="1180" spans="1:9" ht="11.25" customHeight="1">
      <c r="A1180" s="1853" t="s">
        <v>2247</v>
      </c>
      <c s="1853" t="s">
        <v>16</v>
      </c>
      <c s="1853" t="s">
        <v>5032</v>
      </c>
      <c s="1853" t="s">
        <v>5033</v>
      </c>
      <c s="1853" t="s">
        <v>5034</v>
      </c>
      <c s="1853" t="s">
        <v>5035</v>
      </c>
      <c s="1853" t="s">
        <v>5036</v>
      </c>
      <c s="1853" t="s">
        <v>22</v>
      </c>
      <c s="1853" t="s">
        <v>1619</v>
      </c>
    </row>
    <row r="1181" spans="1:9" ht="11.25" customHeight="1">
      <c r="A1181" s="1853" t="s">
        <v>2247</v>
      </c>
      <c s="1853" t="s">
        <v>16</v>
      </c>
      <c s="1853" t="s">
        <v>5037</v>
      </c>
      <c s="1853" t="s">
        <v>5038</v>
      </c>
      <c s="1853" t="s">
        <v>5039</v>
      </c>
      <c s="1853" t="s">
        <v>5040</v>
      </c>
      <c s="1853" t="s">
        <v>5041</v>
      </c>
      <c s="1853" t="s">
        <v>22</v>
      </c>
      <c s="1853" t="s">
        <v>1619</v>
      </c>
    </row>
    <row r="1182" spans="1:9" ht="11.25" customHeight="1">
      <c r="A1182" s="1853" t="s">
        <v>2247</v>
      </c>
      <c s="1853" t="s">
        <v>16</v>
      </c>
      <c s="1853" t="s">
        <v>5042</v>
      </c>
      <c s="1853" t="s">
        <v>5043</v>
      </c>
      <c s="1853" t="s">
        <v>5044</v>
      </c>
      <c s="1853" t="s">
        <v>2391</v>
      </c>
      <c s="1853" t="s">
        <v>5045</v>
      </c>
      <c s="1853" t="s">
        <v>22</v>
      </c>
      <c s="1853" t="s">
        <v>1619</v>
      </c>
    </row>
    <row r="1183" spans="1:9" ht="11.25" customHeight="1">
      <c r="A1183" s="1853" t="s">
        <v>2247</v>
      </c>
      <c s="1853" t="s">
        <v>16</v>
      </c>
      <c s="1853" t="s">
        <v>5046</v>
      </c>
      <c s="1853" t="s">
        <v>5043</v>
      </c>
      <c s="1853" t="s">
        <v>5047</v>
      </c>
      <c s="1853" t="s">
        <v>2842</v>
      </c>
      <c s="1853" t="s">
        <v>5048</v>
      </c>
      <c s="1853" t="s">
        <v>22</v>
      </c>
      <c s="1853" t="s">
        <v>1619</v>
      </c>
    </row>
    <row r="1184" spans="1:9" ht="11.25" customHeight="1">
      <c r="A1184" s="1853" t="s">
        <v>2247</v>
      </c>
      <c s="1853" t="s">
        <v>16</v>
      </c>
      <c s="1853" t="s">
        <v>5049</v>
      </c>
      <c s="1853" t="s">
        <v>5050</v>
      </c>
      <c s="1853" t="s">
        <v>5051</v>
      </c>
      <c s="1853" t="s">
        <v>3146</v>
      </c>
      <c s="1853" t="s">
        <v>5052</v>
      </c>
      <c s="1853" t="s">
        <v>22</v>
      </c>
      <c s="1853" t="s">
        <v>1619</v>
      </c>
    </row>
    <row r="1185" spans="1:9" ht="11.25" customHeight="1">
      <c r="A1185" s="1853" t="s">
        <v>2247</v>
      </c>
      <c s="1853" t="s">
        <v>16</v>
      </c>
      <c s="1853" t="s">
        <v>5053</v>
      </c>
      <c s="1853" t="s">
        <v>5054</v>
      </c>
      <c s="1853" t="s">
        <v>5055</v>
      </c>
      <c s="1853" t="s">
        <v>5056</v>
      </c>
      <c s="1853" t="s">
        <v>5057</v>
      </c>
      <c s="1853" t="s">
        <v>22</v>
      </c>
      <c s="1853" t="s">
        <v>1619</v>
      </c>
    </row>
    <row r="1186" spans="1:9" ht="11.25" customHeight="1">
      <c r="A1186" s="1853" t="s">
        <v>2247</v>
      </c>
      <c s="1853" t="s">
        <v>16</v>
      </c>
      <c s="1853" t="s">
        <v>5058</v>
      </c>
      <c s="1853" t="s">
        <v>5059</v>
      </c>
      <c s="1853" t="s">
        <v>5060</v>
      </c>
      <c s="1853" t="s">
        <v>2265</v>
      </c>
      <c s="1853" t="s">
        <v>5061</v>
      </c>
      <c s="1853" t="s">
        <v>22</v>
      </c>
      <c s="1853" t="s">
        <v>1619</v>
      </c>
    </row>
    <row r="1187" spans="1:9" ht="11.25" customHeight="1">
      <c r="A1187" s="1853" t="s">
        <v>2247</v>
      </c>
      <c s="1853" t="s">
        <v>16</v>
      </c>
      <c s="1853" t="s">
        <v>5062</v>
      </c>
      <c s="1853" t="s">
        <v>5063</v>
      </c>
      <c s="1853" t="s">
        <v>5064</v>
      </c>
      <c s="1853" t="s">
        <v>4990</v>
      </c>
      <c s="1853" t="s">
        <v>22</v>
      </c>
      <c s="1853" t="s">
        <v>22</v>
      </c>
      <c s="1853" t="s">
        <v>1619</v>
      </c>
    </row>
    <row r="1188" spans="1:9" ht="11.25" customHeight="1">
      <c r="A1188" s="1853" t="s">
        <v>2247</v>
      </c>
      <c s="1853" t="s">
        <v>16</v>
      </c>
      <c s="1853" t="s">
        <v>5065</v>
      </c>
      <c s="1853" t="s">
        <v>5066</v>
      </c>
      <c s="1853" t="s">
        <v>5067</v>
      </c>
      <c s="1853" t="s">
        <v>2328</v>
      </c>
      <c s="1853" t="s">
        <v>5068</v>
      </c>
      <c s="1853" t="s">
        <v>22</v>
      </c>
      <c s="1853" t="s">
        <v>1619</v>
      </c>
    </row>
    <row r="1189" spans="1:9" ht="11.25" customHeight="1">
      <c r="A1189" s="1853" t="s">
        <v>2247</v>
      </c>
      <c s="1853" t="s">
        <v>16</v>
      </c>
      <c s="1853" t="s">
        <v>5069</v>
      </c>
      <c s="1853" t="s">
        <v>5070</v>
      </c>
      <c s="1853" t="s">
        <v>5071</v>
      </c>
      <c s="1853" t="s">
        <v>5072</v>
      </c>
      <c s="1853" t="s">
        <v>22</v>
      </c>
      <c s="1853" t="s">
        <v>22</v>
      </c>
      <c s="1853" t="s">
        <v>1619</v>
      </c>
    </row>
    <row r="1190" spans="1:9" ht="11.25" customHeight="1">
      <c r="A1190" s="1853" t="s">
        <v>2247</v>
      </c>
      <c s="1853" t="s">
        <v>16</v>
      </c>
      <c s="1853" t="s">
        <v>5073</v>
      </c>
      <c s="1853" t="s">
        <v>5074</v>
      </c>
      <c s="1853" t="s">
        <v>5075</v>
      </c>
      <c s="1853" t="s">
        <v>2731</v>
      </c>
      <c s="1853" t="s">
        <v>5076</v>
      </c>
      <c s="1853" t="s">
        <v>22</v>
      </c>
      <c s="1853" t="s">
        <v>1619</v>
      </c>
    </row>
    <row r="1191" spans="1:9" ht="11.25" customHeight="1">
      <c r="A1191" s="1853" t="s">
        <v>2247</v>
      </c>
      <c s="1853" t="s">
        <v>16</v>
      </c>
      <c s="1853" t="s">
        <v>5077</v>
      </c>
      <c s="1853" t="s">
        <v>5078</v>
      </c>
      <c s="1853" t="s">
        <v>5079</v>
      </c>
      <c s="1853" t="s">
        <v>2328</v>
      </c>
      <c s="1853" t="s">
        <v>22</v>
      </c>
      <c s="1853" t="s">
        <v>22</v>
      </c>
      <c s="1853" t="s">
        <v>1619</v>
      </c>
    </row>
    <row r="1192" spans="1:9" ht="11.25" customHeight="1">
      <c r="A1192" s="1853" t="s">
        <v>2247</v>
      </c>
      <c s="1853" t="s">
        <v>16</v>
      </c>
      <c s="1853" t="s">
        <v>5080</v>
      </c>
      <c s="1853" t="s">
        <v>5081</v>
      </c>
      <c s="1853" t="s">
        <v>5082</v>
      </c>
      <c s="1853" t="s">
        <v>2328</v>
      </c>
      <c s="1853" t="s">
        <v>22</v>
      </c>
      <c s="1853" t="s">
        <v>22</v>
      </c>
      <c s="1853" t="s">
        <v>1619</v>
      </c>
    </row>
    <row r="1193" spans="1:9" ht="11.25" customHeight="1">
      <c r="A1193" s="1853" t="s">
        <v>2247</v>
      </c>
      <c s="1853" t="s">
        <v>16</v>
      </c>
      <c s="1853" t="s">
        <v>5083</v>
      </c>
      <c s="1853" t="s">
        <v>5084</v>
      </c>
      <c s="1853" t="s">
        <v>5085</v>
      </c>
      <c s="1853" t="s">
        <v>2575</v>
      </c>
      <c s="1853" t="s">
        <v>22</v>
      </c>
      <c s="1853" t="s">
        <v>22</v>
      </c>
      <c s="1853" t="s">
        <v>1619</v>
      </c>
    </row>
    <row r="1194" spans="1:9" ht="11.25" customHeight="1">
      <c r="A1194" s="1853" t="s">
        <v>2247</v>
      </c>
      <c s="1853" t="s">
        <v>16</v>
      </c>
      <c s="1853" t="s">
        <v>5086</v>
      </c>
      <c s="1853" t="s">
        <v>5087</v>
      </c>
      <c s="1853" t="s">
        <v>5088</v>
      </c>
      <c s="1853" t="s">
        <v>2251</v>
      </c>
      <c s="1853" t="s">
        <v>5089</v>
      </c>
      <c s="1853" t="s">
        <v>22</v>
      </c>
      <c s="1853" t="s">
        <v>1619</v>
      </c>
    </row>
    <row r="1195" spans="1:9" ht="11.25" customHeight="1">
      <c r="A1195" s="1853" t="s">
        <v>2247</v>
      </c>
      <c s="1853" t="s">
        <v>16</v>
      </c>
      <c s="1853" t="s">
        <v>5090</v>
      </c>
      <c s="1853" t="s">
        <v>5091</v>
      </c>
      <c s="1853" t="s">
        <v>5092</v>
      </c>
      <c s="1853" t="s">
        <v>2301</v>
      </c>
      <c s="1853" t="s">
        <v>5093</v>
      </c>
      <c s="1853" t="s">
        <v>22</v>
      </c>
      <c s="1853" t="s">
        <v>1619</v>
      </c>
    </row>
    <row r="1196" spans="1:9" ht="11.25" customHeight="1">
      <c r="A1196" s="1853" t="s">
        <v>2247</v>
      </c>
      <c s="1853" t="s">
        <v>16</v>
      </c>
      <c s="1853" t="s">
        <v>5094</v>
      </c>
      <c s="1853" t="s">
        <v>5095</v>
      </c>
      <c s="1853" t="s">
        <v>5096</v>
      </c>
      <c s="1853" t="s">
        <v>2328</v>
      </c>
      <c s="1853" t="s">
        <v>5097</v>
      </c>
      <c s="1853" t="s">
        <v>22</v>
      </c>
      <c s="1853" t="s">
        <v>1619</v>
      </c>
    </row>
    <row r="1197" spans="1:9" ht="11.25" customHeight="1">
      <c r="A1197" s="1853" t="s">
        <v>2247</v>
      </c>
      <c s="1853" t="s">
        <v>16</v>
      </c>
      <c s="1853" t="s">
        <v>5098</v>
      </c>
      <c s="1853" t="s">
        <v>5099</v>
      </c>
      <c s="1853" t="s">
        <v>5100</v>
      </c>
      <c s="1853" t="s">
        <v>2339</v>
      </c>
      <c s="1853" t="s">
        <v>5101</v>
      </c>
      <c s="1853" t="s">
        <v>22</v>
      </c>
      <c s="1853" t="s">
        <v>1619</v>
      </c>
    </row>
    <row r="1198" spans="1:9" ht="11.25" customHeight="1">
      <c r="A1198" s="1853" t="s">
        <v>2247</v>
      </c>
      <c s="1853" t="s">
        <v>16</v>
      </c>
      <c s="1853" t="s">
        <v>4636</v>
      </c>
      <c s="1853" t="s">
        <v>4637</v>
      </c>
      <c s="1853" t="s">
        <v>4638</v>
      </c>
      <c s="1853" t="s">
        <v>4639</v>
      </c>
      <c s="1853" t="s">
        <v>4640</v>
      </c>
      <c s="1853" t="s">
        <v>22</v>
      </c>
      <c s="1853" t="s">
        <v>1619</v>
      </c>
    </row>
    <row r="1199" spans="1:9" ht="11.25" customHeight="1">
      <c r="A1199" s="1853" t="s">
        <v>2247</v>
      </c>
      <c s="1853" t="s">
        <v>16</v>
      </c>
      <c s="1853" t="s">
        <v>5102</v>
      </c>
      <c s="1853" t="s">
        <v>5103</v>
      </c>
      <c s="1853" t="s">
        <v>5104</v>
      </c>
      <c s="1853" t="s">
        <v>2680</v>
      </c>
      <c s="1853" t="s">
        <v>5105</v>
      </c>
      <c s="1853" t="s">
        <v>22</v>
      </c>
      <c s="1853" t="s">
        <v>1619</v>
      </c>
    </row>
    <row r="1200" spans="1:9" ht="11.25" customHeight="1">
      <c r="A1200" s="1853" t="s">
        <v>2247</v>
      </c>
      <c s="1853" t="s">
        <v>16</v>
      </c>
      <c s="1853" t="s">
        <v>4659</v>
      </c>
      <c s="1853" t="s">
        <v>4660</v>
      </c>
      <c s="1853" t="s">
        <v>4638</v>
      </c>
      <c s="1853" t="s">
        <v>51</v>
      </c>
      <c s="1853" t="s">
        <v>4661</v>
      </c>
      <c s="1853" t="s">
        <v>22</v>
      </c>
      <c s="1853" t="s">
        <v>1619</v>
      </c>
    </row>
  </sheetData>
  <sheetProtection formatColumns="0" formatRows="0" insertRows="0" deleteColumns="0" deleteRows="0" sort="0" autoFilter="0"/>
  <pageMargins left="0.75" right="0.75" top="1" bottom="1" header="0.5" footer="0.5"/>
  <pageSetup orientation="portrait"/>
</worksheet>
</file>

<file path=xl/worksheets/sheet7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m="http://schemas.microsoft.com/office/excel/2006/main" xmlns:x14ac="http://schemas.microsoft.com/office/spreadsheetml/2009/9/ac" xmlns:xr="http://schemas.microsoft.com/office/spreadsheetml/2014/revision" xmlns:xr2="http://schemas.microsoft.com/office/spreadsheetml/2015/revision2" xmlns:xr3="http://schemas.microsoft.com/office/spreadsheetml/2016/revision3" xr:uid="{22A9B3E2-52DE-DDA3-1C71-CA6464D4018E}" mc:Ignorable="x14ac xr xr2 xr3">
  <sheetPr>
    <tabColor rgb="FFFFCC99"/>
  </sheetPr>
  <dimension ref="A1:G427"/>
  <sheetViews>
    <sheetView showGridLines="0" workbookViewId="0" topLeftCell="A1">
      <selection pane="topLeft" activeCell="A1" sqref="A1"/>
    </sheetView>
  </sheetViews>
  <sheetFormatPr defaultRowHeight="11.25" customHeight="1"/>
  <cols>
    <col min="1" max="1" width="9.14285714285714" style="1853"/>
  </cols>
  <sheetData>
    <row r="1" spans="1:7" ht="11.25" customHeight="1">
      <c r="A1" s="376" t="s">
        <v>5106</v>
      </c>
      <c s="67" t="s">
        <v>5107</v>
      </c>
      <c s="67" t="s">
        <v>5108</v>
      </c>
      <c s="67" t="s">
        <v>5109</v>
      </c>
      <c s="65" t="s">
        <v>5110</v>
      </c>
      <c s="65" t="s">
        <v>5111</v>
      </c>
      <c s="65" t="s">
        <v>5112</v>
      </c>
    </row>
    <row r="2" spans="1:7" ht="11.25" customHeight="1">
      <c r="A2" s="376" t="s">
        <v>16</v>
      </c>
      <c t="s">
        <v>5113</v>
      </c>
      <c t="s">
        <v>5114</v>
      </c>
      <c t="s">
        <v>5113</v>
      </c>
      <c t="s">
        <v>5114</v>
      </c>
      <c t="s">
        <v>5115</v>
      </c>
      <c t="s">
        <v>109</v>
      </c>
    </row>
    <row r="3" spans="1:7" ht="11.25" customHeight="1">
      <c r="A3" s="376" t="s">
        <v>16</v>
      </c>
      <c t="s">
        <v>5113</v>
      </c>
      <c t="s">
        <v>5114</v>
      </c>
      <c t="s">
        <v>5116</v>
      </c>
      <c t="s">
        <v>5117</v>
      </c>
      <c t="s">
        <v>5118</v>
      </c>
      <c t="s">
        <v>110</v>
      </c>
    </row>
    <row r="4" spans="1:7" ht="11.25" customHeight="1">
      <c r="A4" s="376" t="s">
        <v>16</v>
      </c>
      <c t="s">
        <v>5113</v>
      </c>
      <c t="s">
        <v>5114</v>
      </c>
      <c t="s">
        <v>5119</v>
      </c>
      <c t="s">
        <v>5120</v>
      </c>
      <c t="s">
        <v>5121</v>
      </c>
      <c t="s">
        <v>89</v>
      </c>
    </row>
    <row r="5" spans="1:7" ht="11.25" customHeight="1">
      <c r="A5" s="376" t="s">
        <v>16</v>
      </c>
      <c t="s">
        <v>5113</v>
      </c>
      <c t="s">
        <v>5114</v>
      </c>
      <c t="s">
        <v>5122</v>
      </c>
      <c t="s">
        <v>5123</v>
      </c>
      <c t="s">
        <v>5124</v>
      </c>
      <c t="s">
        <v>90</v>
      </c>
    </row>
    <row r="6" spans="1:7" ht="11.25" customHeight="1">
      <c r="A6" s="376" t="s">
        <v>16</v>
      </c>
      <c t="s">
        <v>5113</v>
      </c>
      <c t="s">
        <v>5114</v>
      </c>
      <c t="s">
        <v>5125</v>
      </c>
      <c t="s">
        <v>5126</v>
      </c>
      <c t="s">
        <v>5124</v>
      </c>
      <c t="s">
        <v>111</v>
      </c>
    </row>
    <row r="7" spans="1:7" ht="11.25" customHeight="1">
      <c r="A7" s="376" t="s">
        <v>16</v>
      </c>
      <c t="s">
        <v>5113</v>
      </c>
      <c t="s">
        <v>5114</v>
      </c>
      <c t="s">
        <v>5127</v>
      </c>
      <c t="s">
        <v>5128</v>
      </c>
      <c t="s">
        <v>5124</v>
      </c>
      <c t="s">
        <v>91</v>
      </c>
    </row>
    <row r="8" spans="1:7" ht="11.25" customHeight="1">
      <c r="A8" s="376" t="s">
        <v>16</v>
      </c>
      <c t="s">
        <v>5113</v>
      </c>
      <c t="s">
        <v>5114</v>
      </c>
      <c t="s">
        <v>5129</v>
      </c>
      <c t="s">
        <v>5130</v>
      </c>
      <c t="s">
        <v>5124</v>
      </c>
      <c t="s">
        <v>92</v>
      </c>
    </row>
    <row r="9" spans="1:7" ht="11.25" customHeight="1">
      <c r="A9" s="376" t="s">
        <v>16</v>
      </c>
      <c t="s">
        <v>5113</v>
      </c>
      <c t="s">
        <v>5114</v>
      </c>
      <c t="s">
        <v>5131</v>
      </c>
      <c t="s">
        <v>5132</v>
      </c>
      <c t="s">
        <v>5124</v>
      </c>
      <c t="s">
        <v>112</v>
      </c>
    </row>
    <row r="10" spans="1:7" ht="11.25" customHeight="1">
      <c r="A10" s="376" t="s">
        <v>16</v>
      </c>
      <c t="s">
        <v>5113</v>
      </c>
      <c t="s">
        <v>5114</v>
      </c>
      <c t="s">
        <v>5133</v>
      </c>
      <c t="s">
        <v>5134</v>
      </c>
      <c t="s">
        <v>5124</v>
      </c>
      <c t="s">
        <v>150</v>
      </c>
    </row>
    <row r="11" spans="1:7" ht="11.25" customHeight="1">
      <c r="A11" s="376" t="s">
        <v>16</v>
      </c>
      <c t="s">
        <v>5135</v>
      </c>
      <c t="s">
        <v>5136</v>
      </c>
      <c t="s">
        <v>5135</v>
      </c>
      <c t="s">
        <v>5136</v>
      </c>
      <c t="s">
        <v>5115</v>
      </c>
      <c t="s">
        <v>151</v>
      </c>
    </row>
    <row r="12" spans="1:7" ht="11.25" customHeight="1">
      <c r="A12" s="376" t="s">
        <v>16</v>
      </c>
      <c t="s">
        <v>5135</v>
      </c>
      <c t="s">
        <v>5136</v>
      </c>
      <c t="s">
        <v>5137</v>
      </c>
      <c t="s">
        <v>5138</v>
      </c>
      <c t="s">
        <v>5118</v>
      </c>
      <c t="s">
        <v>152</v>
      </c>
    </row>
    <row r="13" spans="1:7" ht="11.25" customHeight="1">
      <c r="A13" s="376" t="s">
        <v>16</v>
      </c>
      <c t="s">
        <v>5135</v>
      </c>
      <c t="s">
        <v>5136</v>
      </c>
      <c t="s">
        <v>5139</v>
      </c>
      <c t="s">
        <v>5140</v>
      </c>
      <c t="s">
        <v>5124</v>
      </c>
      <c t="s">
        <v>153</v>
      </c>
    </row>
    <row r="14" spans="1:7" ht="11.25" customHeight="1">
      <c r="A14" s="376" t="s">
        <v>16</v>
      </c>
      <c t="s">
        <v>5135</v>
      </c>
      <c t="s">
        <v>5136</v>
      </c>
      <c t="s">
        <v>5141</v>
      </c>
      <c t="s">
        <v>5142</v>
      </c>
      <c t="s">
        <v>5124</v>
      </c>
      <c t="s">
        <v>154</v>
      </c>
    </row>
    <row r="15" spans="1:7" ht="11.25" customHeight="1">
      <c r="A15" s="376" t="s">
        <v>16</v>
      </c>
      <c t="s">
        <v>5135</v>
      </c>
      <c t="s">
        <v>5136</v>
      </c>
      <c t="s">
        <v>5143</v>
      </c>
      <c t="s">
        <v>5144</v>
      </c>
      <c t="s">
        <v>5124</v>
      </c>
      <c t="s">
        <v>155</v>
      </c>
    </row>
    <row r="16" spans="1:7" ht="11.25" customHeight="1">
      <c r="A16" s="376" t="s">
        <v>16</v>
      </c>
      <c t="s">
        <v>5135</v>
      </c>
      <c t="s">
        <v>5136</v>
      </c>
      <c t="s">
        <v>5145</v>
      </c>
      <c t="s">
        <v>5146</v>
      </c>
      <c t="s">
        <v>5124</v>
      </c>
      <c t="s">
        <v>1463</v>
      </c>
    </row>
    <row r="17" spans="1:7" ht="11.25" customHeight="1">
      <c r="A17" s="376" t="s">
        <v>16</v>
      </c>
      <c t="s">
        <v>5135</v>
      </c>
      <c t="s">
        <v>5136</v>
      </c>
      <c t="s">
        <v>5147</v>
      </c>
      <c t="s">
        <v>5148</v>
      </c>
      <c t="s">
        <v>5121</v>
      </c>
      <c t="s">
        <v>1469</v>
      </c>
    </row>
    <row r="18" spans="1:7" ht="11.25" customHeight="1">
      <c r="A18" s="376" t="s">
        <v>16</v>
      </c>
      <c t="s">
        <v>5135</v>
      </c>
      <c t="s">
        <v>5136</v>
      </c>
      <c t="s">
        <v>5149</v>
      </c>
      <c t="s">
        <v>5150</v>
      </c>
      <c t="s">
        <v>5124</v>
      </c>
      <c t="s">
        <v>1481</v>
      </c>
    </row>
    <row r="19" spans="1:7" ht="11.25" customHeight="1">
      <c r="A19" s="376" t="s">
        <v>16</v>
      </c>
      <c t="s">
        <v>5135</v>
      </c>
      <c t="s">
        <v>5136</v>
      </c>
      <c t="s">
        <v>5151</v>
      </c>
      <c t="s">
        <v>5152</v>
      </c>
      <c t="s">
        <v>5124</v>
      </c>
      <c t="s">
        <v>1495</v>
      </c>
    </row>
    <row r="20" spans="1:7" ht="11.25" customHeight="1">
      <c r="A20" s="376" t="s">
        <v>16</v>
      </c>
      <c t="s">
        <v>5135</v>
      </c>
      <c t="s">
        <v>5136</v>
      </c>
      <c t="s">
        <v>5153</v>
      </c>
      <c t="s">
        <v>5154</v>
      </c>
      <c t="s">
        <v>5124</v>
      </c>
      <c t="s">
        <v>1507</v>
      </c>
    </row>
    <row r="21" spans="1:7" ht="11.25" customHeight="1">
      <c r="A21" s="376" t="s">
        <v>16</v>
      </c>
      <c t="s">
        <v>5135</v>
      </c>
      <c t="s">
        <v>5136</v>
      </c>
      <c t="s">
        <v>5155</v>
      </c>
      <c t="s">
        <v>5156</v>
      </c>
      <c t="s">
        <v>5124</v>
      </c>
      <c t="s">
        <v>1516</v>
      </c>
    </row>
    <row r="22" spans="1:7" ht="11.25" customHeight="1">
      <c r="A22" s="376" t="s">
        <v>16</v>
      </c>
      <c t="s">
        <v>5135</v>
      </c>
      <c t="s">
        <v>5136</v>
      </c>
      <c t="s">
        <v>5157</v>
      </c>
      <c t="s">
        <v>5158</v>
      </c>
      <c t="s">
        <v>5118</v>
      </c>
      <c t="s">
        <v>1532</v>
      </c>
    </row>
    <row r="23" spans="1:7" ht="11.25" customHeight="1">
      <c r="A23" s="376" t="s">
        <v>16</v>
      </c>
      <c t="s">
        <v>5135</v>
      </c>
      <c t="s">
        <v>5136</v>
      </c>
      <c t="s">
        <v>5159</v>
      </c>
      <c t="s">
        <v>5160</v>
      </c>
      <c t="s">
        <v>5124</v>
      </c>
      <c t="s">
        <v>1539</v>
      </c>
    </row>
    <row r="24" spans="1:7" ht="11.25" customHeight="1">
      <c r="A24" s="376" t="s">
        <v>16</v>
      </c>
      <c t="s">
        <v>5161</v>
      </c>
      <c t="s">
        <v>5162</v>
      </c>
      <c t="s">
        <v>5161</v>
      </c>
      <c t="s">
        <v>5162</v>
      </c>
      <c t="s">
        <v>5115</v>
      </c>
      <c t="s">
        <v>1547</v>
      </c>
    </row>
    <row r="25" spans="1:7" ht="11.25" customHeight="1">
      <c r="A25" s="376" t="s">
        <v>16</v>
      </c>
      <c t="s">
        <v>5161</v>
      </c>
      <c t="s">
        <v>5162</v>
      </c>
      <c t="s">
        <v>5163</v>
      </c>
      <c t="s">
        <v>5164</v>
      </c>
      <c t="s">
        <v>5124</v>
      </c>
      <c t="s">
        <v>1554</v>
      </c>
    </row>
    <row r="26" spans="1:7" ht="11.25" customHeight="1">
      <c r="A26" s="376" t="s">
        <v>16</v>
      </c>
      <c t="s">
        <v>5161</v>
      </c>
      <c t="s">
        <v>5162</v>
      </c>
      <c t="s">
        <v>5165</v>
      </c>
      <c t="s">
        <v>5166</v>
      </c>
      <c t="s">
        <v>5124</v>
      </c>
      <c t="s">
        <v>1558</v>
      </c>
    </row>
    <row r="27" spans="1:7" ht="11.25" customHeight="1">
      <c r="A27" s="376" t="s">
        <v>16</v>
      </c>
      <c t="s">
        <v>5161</v>
      </c>
      <c t="s">
        <v>5162</v>
      </c>
      <c t="s">
        <v>5167</v>
      </c>
      <c t="s">
        <v>5168</v>
      </c>
      <c t="s">
        <v>5124</v>
      </c>
      <c t="s">
        <v>1563</v>
      </c>
    </row>
    <row r="28" spans="1:7" ht="11.25" customHeight="1">
      <c r="A28" s="376" t="s">
        <v>16</v>
      </c>
      <c t="s">
        <v>5161</v>
      </c>
      <c t="s">
        <v>5162</v>
      </c>
      <c t="s">
        <v>5169</v>
      </c>
      <c t="s">
        <v>5170</v>
      </c>
      <c t="s">
        <v>5124</v>
      </c>
      <c t="s">
        <v>1571</v>
      </c>
    </row>
    <row r="29" spans="1:7" ht="11.25" customHeight="1">
      <c r="A29" s="376" t="s">
        <v>16</v>
      </c>
      <c t="s">
        <v>5171</v>
      </c>
      <c t="s">
        <v>5172</v>
      </c>
      <c t="s">
        <v>5171</v>
      </c>
      <c t="s">
        <v>5172</v>
      </c>
      <c t="s">
        <v>5115</v>
      </c>
      <c t="s">
        <v>1572</v>
      </c>
    </row>
    <row r="30" spans="1:7" ht="11.25" customHeight="1">
      <c r="A30" s="376" t="s">
        <v>16</v>
      </c>
      <c t="s">
        <v>5171</v>
      </c>
      <c t="s">
        <v>5172</v>
      </c>
      <c t="s">
        <v>5173</v>
      </c>
      <c t="s">
        <v>5174</v>
      </c>
      <c t="s">
        <v>5118</v>
      </c>
      <c t="s">
        <v>1575</v>
      </c>
    </row>
    <row r="31" spans="1:7" ht="11.25" customHeight="1">
      <c r="A31" s="376" t="s">
        <v>16</v>
      </c>
      <c t="s">
        <v>5171</v>
      </c>
      <c t="s">
        <v>5172</v>
      </c>
      <c t="s">
        <v>5175</v>
      </c>
      <c t="s">
        <v>5176</v>
      </c>
      <c t="s">
        <v>5124</v>
      </c>
      <c t="s">
        <v>1581</v>
      </c>
    </row>
    <row r="32" spans="1:7" ht="11.25" customHeight="1">
      <c r="A32" s="376" t="s">
        <v>16</v>
      </c>
      <c t="s">
        <v>5171</v>
      </c>
      <c t="s">
        <v>5172</v>
      </c>
      <c t="s">
        <v>5177</v>
      </c>
      <c t="s">
        <v>5178</v>
      </c>
      <c t="s">
        <v>5124</v>
      </c>
      <c t="s">
        <v>1583</v>
      </c>
    </row>
    <row r="33" spans="1:7" ht="11.25" customHeight="1">
      <c r="A33" s="376" t="s">
        <v>16</v>
      </c>
      <c t="s">
        <v>5171</v>
      </c>
      <c t="s">
        <v>5172</v>
      </c>
      <c t="s">
        <v>5179</v>
      </c>
      <c t="s">
        <v>5180</v>
      </c>
      <c t="s">
        <v>5124</v>
      </c>
      <c t="s">
        <v>1585</v>
      </c>
    </row>
    <row r="34" spans="1:7" ht="11.25" customHeight="1">
      <c r="A34" s="376" t="s">
        <v>16</v>
      </c>
      <c t="s">
        <v>5171</v>
      </c>
      <c t="s">
        <v>5172</v>
      </c>
      <c t="s">
        <v>5181</v>
      </c>
      <c t="s">
        <v>5182</v>
      </c>
      <c t="s">
        <v>5124</v>
      </c>
      <c t="s">
        <v>1587</v>
      </c>
    </row>
    <row r="35" spans="1:7" ht="11.25" customHeight="1">
      <c r="A35" s="376" t="s">
        <v>16</v>
      </c>
      <c t="s">
        <v>5171</v>
      </c>
      <c t="s">
        <v>5172</v>
      </c>
      <c t="s">
        <v>5183</v>
      </c>
      <c t="s">
        <v>5184</v>
      </c>
      <c t="s">
        <v>5124</v>
      </c>
      <c t="s">
        <v>1592</v>
      </c>
    </row>
    <row r="36" spans="1:7" ht="11.25" customHeight="1">
      <c r="A36" s="376" t="s">
        <v>16</v>
      </c>
      <c t="s">
        <v>5171</v>
      </c>
      <c t="s">
        <v>5172</v>
      </c>
      <c t="s">
        <v>5185</v>
      </c>
      <c t="s">
        <v>5186</v>
      </c>
      <c t="s">
        <v>5124</v>
      </c>
      <c t="s">
        <v>1597</v>
      </c>
    </row>
    <row r="37" spans="1:7" ht="11.25" customHeight="1">
      <c r="A37" s="376" t="s">
        <v>16</v>
      </c>
      <c t="s">
        <v>5171</v>
      </c>
      <c t="s">
        <v>5172</v>
      </c>
      <c t="s">
        <v>5187</v>
      </c>
      <c t="s">
        <v>5188</v>
      </c>
      <c t="s">
        <v>5124</v>
      </c>
      <c t="s">
        <v>1601</v>
      </c>
    </row>
    <row r="38" spans="1:7" ht="11.25" customHeight="1">
      <c r="A38" s="376" t="s">
        <v>16</v>
      </c>
      <c t="s">
        <v>5171</v>
      </c>
      <c t="s">
        <v>5172</v>
      </c>
      <c t="s">
        <v>5159</v>
      </c>
      <c t="s">
        <v>5189</v>
      </c>
      <c t="s">
        <v>5124</v>
      </c>
      <c t="s">
        <v>1609</v>
      </c>
    </row>
    <row r="39" spans="1:7" ht="11.25" customHeight="1">
      <c r="A39" s="376" t="s">
        <v>16</v>
      </c>
      <c t="s">
        <v>5171</v>
      </c>
      <c t="s">
        <v>5172</v>
      </c>
      <c t="s">
        <v>5190</v>
      </c>
      <c t="s">
        <v>5191</v>
      </c>
      <c t="s">
        <v>5124</v>
      </c>
      <c t="s">
        <v>1615</v>
      </c>
    </row>
    <row r="40" spans="1:7" ht="11.25" customHeight="1">
      <c r="A40" s="376" t="s">
        <v>16</v>
      </c>
      <c t="s">
        <v>5171</v>
      </c>
      <c t="s">
        <v>5172</v>
      </c>
      <c t="s">
        <v>5192</v>
      </c>
      <c t="s">
        <v>5193</v>
      </c>
      <c t="s">
        <v>5124</v>
      </c>
      <c t="s">
        <v>1620</v>
      </c>
    </row>
    <row r="41" spans="1:7" ht="11.25" customHeight="1">
      <c r="A41" s="376" t="s">
        <v>16</v>
      </c>
      <c t="s">
        <v>5194</v>
      </c>
      <c t="s">
        <v>5195</v>
      </c>
      <c t="s">
        <v>5196</v>
      </c>
      <c t="s">
        <v>5197</v>
      </c>
      <c t="s">
        <v>5124</v>
      </c>
      <c t="s">
        <v>1624</v>
      </c>
    </row>
    <row r="42" spans="1:7" ht="11.25" customHeight="1">
      <c r="A42" s="376" t="s">
        <v>16</v>
      </c>
      <c t="s">
        <v>5194</v>
      </c>
      <c t="s">
        <v>5195</v>
      </c>
      <c t="s">
        <v>5198</v>
      </c>
      <c t="s">
        <v>5199</v>
      </c>
      <c t="s">
        <v>5124</v>
      </c>
      <c t="s">
        <v>1627</v>
      </c>
    </row>
    <row r="43" spans="1:7" ht="11.25" customHeight="1">
      <c r="A43" s="376" t="s">
        <v>16</v>
      </c>
      <c t="s">
        <v>5194</v>
      </c>
      <c t="s">
        <v>5195</v>
      </c>
      <c t="s">
        <v>5194</v>
      </c>
      <c t="s">
        <v>5195</v>
      </c>
      <c t="s">
        <v>5115</v>
      </c>
      <c t="s">
        <v>1634</v>
      </c>
    </row>
    <row r="44" spans="1:7" ht="11.25" customHeight="1">
      <c r="A44" s="376" t="s">
        <v>16</v>
      </c>
      <c t="s">
        <v>5194</v>
      </c>
      <c t="s">
        <v>5195</v>
      </c>
      <c t="s">
        <v>5200</v>
      </c>
      <c t="s">
        <v>5201</v>
      </c>
      <c t="s">
        <v>5124</v>
      </c>
      <c t="s">
        <v>1643</v>
      </c>
    </row>
    <row r="45" spans="1:7" ht="11.25" customHeight="1">
      <c r="A45" s="376" t="s">
        <v>16</v>
      </c>
      <c t="s">
        <v>5194</v>
      </c>
      <c t="s">
        <v>5195</v>
      </c>
      <c t="s">
        <v>5202</v>
      </c>
      <c t="s">
        <v>5203</v>
      </c>
      <c t="s">
        <v>5124</v>
      </c>
      <c t="s">
        <v>1648</v>
      </c>
    </row>
    <row r="46" spans="1:7" ht="11.25" customHeight="1">
      <c r="A46" s="376" t="s">
        <v>16</v>
      </c>
      <c t="s">
        <v>5194</v>
      </c>
      <c t="s">
        <v>5195</v>
      </c>
      <c t="s">
        <v>5204</v>
      </c>
      <c t="s">
        <v>5205</v>
      </c>
      <c t="s">
        <v>5124</v>
      </c>
      <c t="s">
        <v>1651</v>
      </c>
    </row>
    <row r="47" spans="1:7" ht="11.25" customHeight="1">
      <c r="A47" s="376" t="s">
        <v>16</v>
      </c>
      <c t="s">
        <v>5194</v>
      </c>
      <c t="s">
        <v>5195</v>
      </c>
      <c t="s">
        <v>5206</v>
      </c>
      <c t="s">
        <v>5207</v>
      </c>
      <c t="s">
        <v>5124</v>
      </c>
      <c t="s">
        <v>1657</v>
      </c>
    </row>
    <row r="48" spans="1:7" ht="11.25" customHeight="1">
      <c r="A48" s="376" t="s">
        <v>16</v>
      </c>
      <c t="s">
        <v>5194</v>
      </c>
      <c t="s">
        <v>5195</v>
      </c>
      <c t="s">
        <v>5208</v>
      </c>
      <c t="s">
        <v>5209</v>
      </c>
      <c t="s">
        <v>5124</v>
      </c>
      <c t="s">
        <v>1662</v>
      </c>
    </row>
    <row r="49" spans="1:7" ht="11.25" customHeight="1">
      <c r="A49" s="376" t="s">
        <v>16</v>
      </c>
      <c t="s">
        <v>5194</v>
      </c>
      <c t="s">
        <v>5195</v>
      </c>
      <c t="s">
        <v>5210</v>
      </c>
      <c t="s">
        <v>5211</v>
      </c>
      <c t="s">
        <v>5124</v>
      </c>
      <c t="s">
        <v>1665</v>
      </c>
    </row>
    <row r="50" spans="1:7" ht="11.25" customHeight="1">
      <c r="A50" s="376" t="s">
        <v>16</v>
      </c>
      <c t="s">
        <v>5212</v>
      </c>
      <c t="s">
        <v>5213</v>
      </c>
      <c t="s">
        <v>5214</v>
      </c>
      <c t="s">
        <v>5215</v>
      </c>
      <c t="s">
        <v>5124</v>
      </c>
      <c t="s">
        <v>1669</v>
      </c>
    </row>
    <row r="51" spans="1:7" ht="11.25" customHeight="1">
      <c r="A51" s="376" t="s">
        <v>16</v>
      </c>
      <c t="s">
        <v>5212</v>
      </c>
      <c t="s">
        <v>5213</v>
      </c>
      <c t="s">
        <v>5216</v>
      </c>
      <c t="s">
        <v>5217</v>
      </c>
      <c t="s">
        <v>5124</v>
      </c>
      <c t="s">
        <v>1674</v>
      </c>
    </row>
    <row r="52" spans="1:7" ht="11.25" customHeight="1">
      <c r="A52" s="376" t="s">
        <v>16</v>
      </c>
      <c t="s">
        <v>5212</v>
      </c>
      <c t="s">
        <v>5213</v>
      </c>
      <c t="s">
        <v>5218</v>
      </c>
      <c t="s">
        <v>5219</v>
      </c>
      <c t="s">
        <v>5124</v>
      </c>
      <c t="s">
        <v>1678</v>
      </c>
    </row>
    <row r="53" spans="1:7" ht="11.25" customHeight="1">
      <c r="A53" s="376" t="s">
        <v>16</v>
      </c>
      <c t="s">
        <v>5212</v>
      </c>
      <c t="s">
        <v>5213</v>
      </c>
      <c t="s">
        <v>5220</v>
      </c>
      <c t="s">
        <v>5221</v>
      </c>
      <c t="s">
        <v>5124</v>
      </c>
      <c t="s">
        <v>1680</v>
      </c>
    </row>
    <row r="54" spans="1:7" ht="11.25" customHeight="1">
      <c r="A54" s="376" t="s">
        <v>16</v>
      </c>
      <c t="s">
        <v>5212</v>
      </c>
      <c t="s">
        <v>5213</v>
      </c>
      <c t="s">
        <v>5212</v>
      </c>
      <c t="s">
        <v>5213</v>
      </c>
      <c t="s">
        <v>5115</v>
      </c>
      <c t="s">
        <v>1683</v>
      </c>
    </row>
    <row r="55" spans="1:7" ht="11.25" customHeight="1">
      <c r="A55" s="376" t="s">
        <v>16</v>
      </c>
      <c t="s">
        <v>5212</v>
      </c>
      <c t="s">
        <v>5213</v>
      </c>
      <c t="s">
        <v>5222</v>
      </c>
      <c t="s">
        <v>5223</v>
      </c>
      <c t="s">
        <v>5124</v>
      </c>
      <c t="s">
        <v>1687</v>
      </c>
    </row>
    <row r="56" spans="1:7" ht="11.25" customHeight="1">
      <c r="A56" s="376" t="s">
        <v>16</v>
      </c>
      <c t="s">
        <v>5212</v>
      </c>
      <c t="s">
        <v>5213</v>
      </c>
      <c t="s">
        <v>5224</v>
      </c>
      <c t="s">
        <v>5225</v>
      </c>
      <c t="s">
        <v>5124</v>
      </c>
      <c t="s">
        <v>1690</v>
      </c>
    </row>
    <row r="57" spans="1:7" ht="11.25" customHeight="1">
      <c r="A57" s="376" t="s">
        <v>16</v>
      </c>
      <c t="s">
        <v>5212</v>
      </c>
      <c t="s">
        <v>5213</v>
      </c>
      <c t="s">
        <v>5226</v>
      </c>
      <c t="s">
        <v>5227</v>
      </c>
      <c t="s">
        <v>5124</v>
      </c>
      <c t="s">
        <v>1693</v>
      </c>
    </row>
    <row r="58" spans="1:7" ht="11.25" customHeight="1">
      <c r="A58" s="376" t="s">
        <v>16</v>
      </c>
      <c t="s">
        <v>5212</v>
      </c>
      <c t="s">
        <v>5213</v>
      </c>
      <c t="s">
        <v>5228</v>
      </c>
      <c t="s">
        <v>5229</v>
      </c>
      <c t="s">
        <v>5124</v>
      </c>
      <c t="s">
        <v>1696</v>
      </c>
    </row>
    <row r="59" spans="1:7" ht="11.25" customHeight="1">
      <c r="A59" s="376" t="s">
        <v>16</v>
      </c>
      <c t="s">
        <v>5212</v>
      </c>
      <c t="s">
        <v>5213</v>
      </c>
      <c t="s">
        <v>5230</v>
      </c>
      <c t="s">
        <v>5231</v>
      </c>
      <c t="s">
        <v>5124</v>
      </c>
      <c t="s">
        <v>1700</v>
      </c>
    </row>
    <row r="60" spans="1:7" ht="11.25" customHeight="1">
      <c r="A60" s="376" t="s">
        <v>16</v>
      </c>
      <c t="s">
        <v>5212</v>
      </c>
      <c t="s">
        <v>5213</v>
      </c>
      <c t="s">
        <v>5232</v>
      </c>
      <c t="s">
        <v>5233</v>
      </c>
      <c t="s">
        <v>5124</v>
      </c>
      <c t="s">
        <v>1703</v>
      </c>
    </row>
    <row r="61" spans="1:7" ht="11.25" customHeight="1">
      <c r="A61" s="376" t="s">
        <v>16</v>
      </c>
      <c t="s">
        <v>5234</v>
      </c>
      <c t="s">
        <v>5235</v>
      </c>
      <c t="s">
        <v>5234</v>
      </c>
      <c t="s">
        <v>5235</v>
      </c>
      <c t="s">
        <v>5236</v>
      </c>
      <c t="s">
        <v>5237</v>
      </c>
    </row>
    <row r="62" spans="1:7" ht="11.25" customHeight="1">
      <c r="A62" s="376" t="s">
        <v>16</v>
      </c>
      <c t="s">
        <v>5238</v>
      </c>
      <c t="s">
        <v>5239</v>
      </c>
      <c t="s">
        <v>5238</v>
      </c>
      <c t="s">
        <v>5239</v>
      </c>
      <c t="s">
        <v>5236</v>
      </c>
      <c t="s">
        <v>5240</v>
      </c>
    </row>
    <row r="63" spans="1:7" ht="11.25" customHeight="1">
      <c r="A63" s="376" t="s">
        <v>16</v>
      </c>
      <c t="s">
        <v>5241</v>
      </c>
      <c t="s">
        <v>5242</v>
      </c>
      <c t="s">
        <v>5241</v>
      </c>
      <c t="s">
        <v>5242</v>
      </c>
      <c t="s">
        <v>5236</v>
      </c>
      <c t="s">
        <v>5243</v>
      </c>
    </row>
    <row r="64" spans="1:7" ht="11.25" customHeight="1">
      <c r="A64" s="376" t="s">
        <v>16</v>
      </c>
      <c t="s">
        <v>5244</v>
      </c>
      <c t="s">
        <v>5245</v>
      </c>
      <c t="s">
        <v>5244</v>
      </c>
      <c t="s">
        <v>5245</v>
      </c>
      <c t="s">
        <v>5236</v>
      </c>
      <c t="s">
        <v>5246</v>
      </c>
    </row>
    <row r="65" spans="1:7" ht="11.25" customHeight="1">
      <c r="A65" s="376" t="s">
        <v>16</v>
      </c>
      <c t="s">
        <v>5247</v>
      </c>
      <c t="s">
        <v>5248</v>
      </c>
      <c t="s">
        <v>5247</v>
      </c>
      <c t="s">
        <v>5248</v>
      </c>
      <c t="s">
        <v>5236</v>
      </c>
      <c t="s">
        <v>5249</v>
      </c>
    </row>
    <row r="66" spans="1:7" ht="11.25" customHeight="1">
      <c r="A66" s="376" t="s">
        <v>16</v>
      </c>
      <c t="s">
        <v>5250</v>
      </c>
      <c t="s">
        <v>5251</v>
      </c>
      <c t="s">
        <v>5250</v>
      </c>
      <c t="s">
        <v>5251</v>
      </c>
      <c t="s">
        <v>5236</v>
      </c>
      <c t="s">
        <v>5252</v>
      </c>
    </row>
    <row r="67" spans="1:7" ht="11.25" customHeight="1">
      <c r="A67" s="376" t="s">
        <v>16</v>
      </c>
      <c t="s">
        <v>5253</v>
      </c>
      <c t="s">
        <v>5254</v>
      </c>
      <c t="s">
        <v>5253</v>
      </c>
      <c t="s">
        <v>5254</v>
      </c>
      <c t="s">
        <v>5236</v>
      </c>
      <c t="s">
        <v>2021</v>
      </c>
    </row>
    <row r="68" spans="1:7" ht="11.25" customHeight="1">
      <c r="A68" s="376" t="s">
        <v>16</v>
      </c>
      <c t="s">
        <v>5255</v>
      </c>
      <c t="s">
        <v>5256</v>
      </c>
      <c t="s">
        <v>5257</v>
      </c>
      <c t="s">
        <v>5258</v>
      </c>
      <c t="s">
        <v>5124</v>
      </c>
      <c t="s">
        <v>5259</v>
      </c>
    </row>
    <row r="69" spans="1:7" ht="11.25" customHeight="1">
      <c r="A69" s="376" t="s">
        <v>16</v>
      </c>
      <c t="s">
        <v>5255</v>
      </c>
      <c t="s">
        <v>5256</v>
      </c>
      <c t="s">
        <v>5260</v>
      </c>
      <c t="s">
        <v>5261</v>
      </c>
      <c t="s">
        <v>5121</v>
      </c>
      <c t="s">
        <v>2224</v>
      </c>
    </row>
    <row r="70" spans="1:7" ht="11.25" customHeight="1">
      <c r="A70" s="376" t="s">
        <v>16</v>
      </c>
      <c t="s">
        <v>5255</v>
      </c>
      <c t="s">
        <v>5256</v>
      </c>
      <c t="s">
        <v>5255</v>
      </c>
      <c t="s">
        <v>5256</v>
      </c>
      <c t="s">
        <v>5115</v>
      </c>
      <c t="s">
        <v>5262</v>
      </c>
    </row>
    <row r="71" spans="1:7" ht="11.25" customHeight="1">
      <c r="A71" s="376" t="s">
        <v>16</v>
      </c>
      <c t="s">
        <v>5255</v>
      </c>
      <c t="s">
        <v>5256</v>
      </c>
      <c t="s">
        <v>5263</v>
      </c>
      <c t="s">
        <v>5264</v>
      </c>
      <c t="s">
        <v>5118</v>
      </c>
      <c t="s">
        <v>5265</v>
      </c>
    </row>
    <row r="72" spans="1:7" ht="11.25" customHeight="1">
      <c r="A72" s="376" t="s">
        <v>16</v>
      </c>
      <c t="s">
        <v>5255</v>
      </c>
      <c t="s">
        <v>5256</v>
      </c>
      <c t="s">
        <v>5266</v>
      </c>
      <c t="s">
        <v>5267</v>
      </c>
      <c t="s">
        <v>5124</v>
      </c>
      <c t="s">
        <v>5268</v>
      </c>
    </row>
    <row r="73" spans="1:7" ht="11.25" customHeight="1">
      <c r="A73" s="376" t="s">
        <v>16</v>
      </c>
      <c t="s">
        <v>5255</v>
      </c>
      <c t="s">
        <v>5256</v>
      </c>
      <c t="s">
        <v>5269</v>
      </c>
      <c t="s">
        <v>5270</v>
      </c>
      <c t="s">
        <v>5121</v>
      </c>
      <c t="s">
        <v>5271</v>
      </c>
    </row>
    <row r="74" spans="1:7" ht="11.25" customHeight="1">
      <c r="A74" s="376" t="s">
        <v>16</v>
      </c>
      <c t="s">
        <v>5255</v>
      </c>
      <c t="s">
        <v>5256</v>
      </c>
      <c t="s">
        <v>5272</v>
      </c>
      <c t="s">
        <v>5273</v>
      </c>
      <c t="s">
        <v>5124</v>
      </c>
      <c t="s">
        <v>5274</v>
      </c>
    </row>
    <row r="75" spans="1:7" ht="11.25" customHeight="1">
      <c r="A75" s="376" t="s">
        <v>16</v>
      </c>
      <c t="s">
        <v>5255</v>
      </c>
      <c t="s">
        <v>5256</v>
      </c>
      <c t="s">
        <v>5275</v>
      </c>
      <c t="s">
        <v>5276</v>
      </c>
      <c t="s">
        <v>5124</v>
      </c>
      <c t="s">
        <v>5277</v>
      </c>
    </row>
    <row r="76" spans="1:7" ht="11.25" customHeight="1">
      <c r="A76" s="376" t="s">
        <v>16</v>
      </c>
      <c t="s">
        <v>5255</v>
      </c>
      <c t="s">
        <v>5256</v>
      </c>
      <c t="s">
        <v>5278</v>
      </c>
      <c t="s">
        <v>5279</v>
      </c>
      <c t="s">
        <v>5124</v>
      </c>
      <c t="s">
        <v>5280</v>
      </c>
    </row>
    <row r="77" spans="1:7" ht="11.25" customHeight="1">
      <c r="A77" s="376" t="s">
        <v>16</v>
      </c>
      <c t="s">
        <v>5255</v>
      </c>
      <c t="s">
        <v>5256</v>
      </c>
      <c t="s">
        <v>5281</v>
      </c>
      <c t="s">
        <v>5282</v>
      </c>
      <c t="s">
        <v>5124</v>
      </c>
      <c t="s">
        <v>5283</v>
      </c>
    </row>
    <row r="78" spans="1:7" ht="11.25" customHeight="1">
      <c r="A78" s="376" t="s">
        <v>16</v>
      </c>
      <c t="s">
        <v>5255</v>
      </c>
      <c t="s">
        <v>5256</v>
      </c>
      <c t="s">
        <v>5284</v>
      </c>
      <c t="s">
        <v>5285</v>
      </c>
      <c t="s">
        <v>5124</v>
      </c>
      <c t="s">
        <v>5286</v>
      </c>
    </row>
    <row r="79" spans="1:7" ht="11.25" customHeight="1">
      <c r="A79" s="376" t="s">
        <v>16</v>
      </c>
      <c t="s">
        <v>5255</v>
      </c>
      <c t="s">
        <v>5256</v>
      </c>
      <c t="s">
        <v>5287</v>
      </c>
      <c t="s">
        <v>5288</v>
      </c>
      <c t="s">
        <v>5124</v>
      </c>
      <c t="s">
        <v>5289</v>
      </c>
    </row>
    <row r="80" spans="1:7" ht="11.25" customHeight="1">
      <c r="A80" s="376" t="s">
        <v>16</v>
      </c>
      <c t="s">
        <v>5255</v>
      </c>
      <c t="s">
        <v>5256</v>
      </c>
      <c t="s">
        <v>5290</v>
      </c>
      <c t="s">
        <v>5291</v>
      </c>
      <c t="s">
        <v>5124</v>
      </c>
      <c t="s">
        <v>5292</v>
      </c>
    </row>
    <row r="81" spans="1:7" ht="11.25" customHeight="1">
      <c r="A81" s="376" t="s">
        <v>16</v>
      </c>
      <c t="s">
        <v>5255</v>
      </c>
      <c t="s">
        <v>5256</v>
      </c>
      <c t="s">
        <v>5293</v>
      </c>
      <c t="s">
        <v>5294</v>
      </c>
      <c t="s">
        <v>5124</v>
      </c>
      <c t="s">
        <v>5295</v>
      </c>
    </row>
    <row r="82" spans="1:7" ht="11.25" customHeight="1">
      <c r="A82" s="376" t="s">
        <v>16</v>
      </c>
      <c t="s">
        <v>5255</v>
      </c>
      <c t="s">
        <v>5256</v>
      </c>
      <c t="s">
        <v>5296</v>
      </c>
      <c t="s">
        <v>5297</v>
      </c>
      <c t="s">
        <v>5124</v>
      </c>
      <c t="s">
        <v>5298</v>
      </c>
    </row>
    <row r="83" spans="1:7" ht="11.25" customHeight="1">
      <c r="A83" s="376" t="s">
        <v>16</v>
      </c>
      <c t="s">
        <v>5255</v>
      </c>
      <c t="s">
        <v>5256</v>
      </c>
      <c t="s">
        <v>5299</v>
      </c>
      <c t="s">
        <v>5300</v>
      </c>
      <c t="s">
        <v>5124</v>
      </c>
      <c t="s">
        <v>5301</v>
      </c>
    </row>
    <row r="84" spans="1:7" ht="11.25" customHeight="1">
      <c r="A84" s="376" t="s">
        <v>16</v>
      </c>
      <c t="s">
        <v>5302</v>
      </c>
      <c t="s">
        <v>5303</v>
      </c>
      <c t="s">
        <v>5304</v>
      </c>
      <c t="s">
        <v>5305</v>
      </c>
      <c t="s">
        <v>5124</v>
      </c>
      <c t="s">
        <v>5306</v>
      </c>
    </row>
    <row r="85" spans="1:7" ht="11.25" customHeight="1">
      <c r="A85" s="376" t="s">
        <v>16</v>
      </c>
      <c t="s">
        <v>5302</v>
      </c>
      <c t="s">
        <v>5303</v>
      </c>
      <c t="s">
        <v>5307</v>
      </c>
      <c t="s">
        <v>5308</v>
      </c>
      <c t="s">
        <v>5124</v>
      </c>
      <c t="s">
        <v>5309</v>
      </c>
    </row>
    <row r="86" spans="1:7" ht="11.25" customHeight="1">
      <c r="A86" s="376" t="s">
        <v>16</v>
      </c>
      <c t="s">
        <v>5302</v>
      </c>
      <c t="s">
        <v>5303</v>
      </c>
      <c t="s">
        <v>5302</v>
      </c>
      <c t="s">
        <v>5303</v>
      </c>
      <c t="s">
        <v>5115</v>
      </c>
      <c t="s">
        <v>5310</v>
      </c>
    </row>
    <row r="87" spans="1:7" ht="11.25" customHeight="1">
      <c r="A87" s="376" t="s">
        <v>16</v>
      </c>
      <c t="s">
        <v>5302</v>
      </c>
      <c t="s">
        <v>5303</v>
      </c>
      <c t="s">
        <v>5311</v>
      </c>
      <c t="s">
        <v>5312</v>
      </c>
      <c t="s">
        <v>5124</v>
      </c>
      <c t="s">
        <v>5313</v>
      </c>
    </row>
    <row r="88" spans="1:7" ht="11.25" customHeight="1">
      <c r="A88" s="376" t="s">
        <v>16</v>
      </c>
      <c t="s">
        <v>5302</v>
      </c>
      <c t="s">
        <v>5303</v>
      </c>
      <c t="s">
        <v>5314</v>
      </c>
      <c t="s">
        <v>5315</v>
      </c>
      <c t="s">
        <v>5124</v>
      </c>
      <c t="s">
        <v>5316</v>
      </c>
    </row>
    <row r="89" spans="1:7" ht="11.25" customHeight="1">
      <c r="A89" s="376" t="s">
        <v>16</v>
      </c>
      <c t="s">
        <v>5302</v>
      </c>
      <c t="s">
        <v>5303</v>
      </c>
      <c t="s">
        <v>5317</v>
      </c>
      <c t="s">
        <v>5318</v>
      </c>
      <c t="s">
        <v>5124</v>
      </c>
      <c t="s">
        <v>5319</v>
      </c>
    </row>
    <row r="90" spans="1:7" ht="11.25" customHeight="1">
      <c r="A90" s="376" t="s">
        <v>16</v>
      </c>
      <c t="s">
        <v>5302</v>
      </c>
      <c t="s">
        <v>5303</v>
      </c>
      <c t="s">
        <v>5320</v>
      </c>
      <c t="s">
        <v>5321</v>
      </c>
      <c t="s">
        <v>5124</v>
      </c>
      <c t="s">
        <v>5322</v>
      </c>
    </row>
    <row r="91" spans="1:7" ht="11.25" customHeight="1">
      <c r="A91" s="376" t="s">
        <v>16</v>
      </c>
      <c t="s">
        <v>5302</v>
      </c>
      <c t="s">
        <v>5303</v>
      </c>
      <c t="s">
        <v>5323</v>
      </c>
      <c t="s">
        <v>5324</v>
      </c>
      <c t="s">
        <v>5124</v>
      </c>
      <c t="s">
        <v>5325</v>
      </c>
    </row>
    <row r="92" spans="1:7" ht="11.25" customHeight="1">
      <c r="A92" s="376" t="s">
        <v>16</v>
      </c>
      <c t="s">
        <v>5302</v>
      </c>
      <c t="s">
        <v>5303</v>
      </c>
      <c t="s">
        <v>5326</v>
      </c>
      <c t="s">
        <v>5327</v>
      </c>
      <c t="s">
        <v>5124</v>
      </c>
      <c t="s">
        <v>5328</v>
      </c>
    </row>
    <row r="93" spans="1:7" ht="11.25" customHeight="1">
      <c r="A93" s="376" t="s">
        <v>16</v>
      </c>
      <c t="s">
        <v>5302</v>
      </c>
      <c t="s">
        <v>5303</v>
      </c>
      <c t="s">
        <v>5329</v>
      </c>
      <c t="s">
        <v>5330</v>
      </c>
      <c t="s">
        <v>5124</v>
      </c>
      <c t="s">
        <v>5331</v>
      </c>
    </row>
    <row r="94" spans="1:7" ht="11.25" customHeight="1">
      <c r="A94" s="376" t="s">
        <v>16</v>
      </c>
      <c t="s">
        <v>5302</v>
      </c>
      <c t="s">
        <v>5303</v>
      </c>
      <c t="s">
        <v>5332</v>
      </c>
      <c t="s">
        <v>5333</v>
      </c>
      <c t="s">
        <v>5124</v>
      </c>
      <c t="s">
        <v>5334</v>
      </c>
    </row>
    <row r="95" spans="1:7" ht="11.25" customHeight="1">
      <c r="A95" s="376" t="s">
        <v>16</v>
      </c>
      <c t="s">
        <v>99</v>
      </c>
      <c t="s">
        <v>5335</v>
      </c>
      <c t="s">
        <v>5336</v>
      </c>
      <c t="s">
        <v>5337</v>
      </c>
      <c t="s">
        <v>5124</v>
      </c>
      <c t="s">
        <v>5338</v>
      </c>
    </row>
    <row r="96" spans="1:7" ht="11.25" customHeight="1">
      <c r="A96" s="376" t="s">
        <v>16</v>
      </c>
      <c t="s">
        <v>99</v>
      </c>
      <c t="s">
        <v>5335</v>
      </c>
      <c t="s">
        <v>5339</v>
      </c>
      <c t="s">
        <v>5340</v>
      </c>
      <c t="s">
        <v>5124</v>
      </c>
      <c t="s">
        <v>5341</v>
      </c>
    </row>
    <row r="97" spans="1:7" ht="11.25" customHeight="1">
      <c r="A97" s="376" t="s">
        <v>16</v>
      </c>
      <c t="s">
        <v>99</v>
      </c>
      <c t="s">
        <v>5335</v>
      </c>
      <c t="s">
        <v>99</v>
      </c>
      <c t="s">
        <v>5335</v>
      </c>
      <c t="s">
        <v>5115</v>
      </c>
      <c t="s">
        <v>5342</v>
      </c>
    </row>
    <row r="98" spans="1:7" ht="11.25" customHeight="1">
      <c r="A98" s="376" t="s">
        <v>16</v>
      </c>
      <c t="s">
        <v>99</v>
      </c>
      <c t="s">
        <v>5335</v>
      </c>
      <c t="s">
        <v>5343</v>
      </c>
      <c t="s">
        <v>5344</v>
      </c>
      <c t="s">
        <v>5124</v>
      </c>
      <c t="s">
        <v>5345</v>
      </c>
    </row>
    <row r="99" spans="1:7" ht="11.25" customHeight="1">
      <c r="A99" s="376" t="s">
        <v>16</v>
      </c>
      <c t="s">
        <v>99</v>
      </c>
      <c t="s">
        <v>5335</v>
      </c>
      <c t="s">
        <v>100</v>
      </c>
      <c t="s">
        <v>101</v>
      </c>
      <c t="s">
        <v>5118</v>
      </c>
      <c t="s">
        <v>98</v>
      </c>
    </row>
    <row r="100" spans="1:7" ht="11.25" customHeight="1">
      <c r="A100" s="376" t="s">
        <v>16</v>
      </c>
      <c t="s">
        <v>99</v>
      </c>
      <c t="s">
        <v>5335</v>
      </c>
      <c t="s">
        <v>5346</v>
      </c>
      <c t="s">
        <v>5347</v>
      </c>
      <c t="s">
        <v>5124</v>
      </c>
      <c t="s">
        <v>5348</v>
      </c>
    </row>
    <row r="101" spans="1:7" ht="11.25" customHeight="1">
      <c r="A101" s="376" t="s">
        <v>16</v>
      </c>
      <c t="s">
        <v>99</v>
      </c>
      <c t="s">
        <v>5335</v>
      </c>
      <c t="s">
        <v>5349</v>
      </c>
      <c t="s">
        <v>5350</v>
      </c>
      <c t="s">
        <v>5124</v>
      </c>
      <c t="s">
        <v>5351</v>
      </c>
    </row>
    <row r="102" spans="1:7" ht="11.25" customHeight="1">
      <c r="A102" s="376" t="s">
        <v>16</v>
      </c>
      <c t="s">
        <v>99</v>
      </c>
      <c t="s">
        <v>5335</v>
      </c>
      <c t="s">
        <v>5352</v>
      </c>
      <c t="s">
        <v>5353</v>
      </c>
      <c t="s">
        <v>5124</v>
      </c>
      <c t="s">
        <v>5354</v>
      </c>
    </row>
    <row r="103" spans="1:7" ht="11.25" customHeight="1">
      <c r="A103" s="376" t="s">
        <v>16</v>
      </c>
      <c t="s">
        <v>99</v>
      </c>
      <c t="s">
        <v>5335</v>
      </c>
      <c t="s">
        <v>5355</v>
      </c>
      <c t="s">
        <v>5356</v>
      </c>
      <c t="s">
        <v>5124</v>
      </c>
      <c t="s">
        <v>5357</v>
      </c>
    </row>
    <row r="104" spans="1:7" ht="11.25" customHeight="1">
      <c r="A104" s="376" t="s">
        <v>16</v>
      </c>
      <c t="s">
        <v>99</v>
      </c>
      <c t="s">
        <v>5335</v>
      </c>
      <c t="s">
        <v>5358</v>
      </c>
      <c t="s">
        <v>5359</v>
      </c>
      <c t="s">
        <v>5124</v>
      </c>
      <c t="s">
        <v>5360</v>
      </c>
    </row>
    <row r="105" spans="1:7" ht="11.25" customHeight="1">
      <c r="A105" s="376" t="s">
        <v>16</v>
      </c>
      <c t="s">
        <v>99</v>
      </c>
      <c t="s">
        <v>5335</v>
      </c>
      <c t="s">
        <v>5361</v>
      </c>
      <c t="s">
        <v>5362</v>
      </c>
      <c t="s">
        <v>5124</v>
      </c>
      <c t="s">
        <v>5363</v>
      </c>
    </row>
    <row r="106" spans="1:7" ht="11.25" customHeight="1">
      <c r="A106" s="376" t="s">
        <v>16</v>
      </c>
      <c t="s">
        <v>99</v>
      </c>
      <c t="s">
        <v>5335</v>
      </c>
      <c t="s">
        <v>5364</v>
      </c>
      <c t="s">
        <v>5365</v>
      </c>
      <c t="s">
        <v>5124</v>
      </c>
      <c t="s">
        <v>5366</v>
      </c>
    </row>
    <row r="107" spans="1:7" ht="11.25" customHeight="1">
      <c r="A107" s="376" t="s">
        <v>16</v>
      </c>
      <c t="s">
        <v>5367</v>
      </c>
      <c t="s">
        <v>5368</v>
      </c>
      <c t="s">
        <v>5369</v>
      </c>
      <c t="s">
        <v>5370</v>
      </c>
      <c t="s">
        <v>5124</v>
      </c>
      <c t="s">
        <v>5371</v>
      </c>
    </row>
    <row r="108" spans="1:7" ht="11.25" customHeight="1">
      <c r="A108" s="376" t="s">
        <v>16</v>
      </c>
      <c t="s">
        <v>5367</v>
      </c>
      <c t="s">
        <v>5368</v>
      </c>
      <c t="s">
        <v>5367</v>
      </c>
      <c t="s">
        <v>5368</v>
      </c>
      <c t="s">
        <v>5115</v>
      </c>
      <c t="s">
        <v>5372</v>
      </c>
    </row>
    <row r="109" spans="1:7" ht="11.25" customHeight="1">
      <c r="A109" s="376" t="s">
        <v>16</v>
      </c>
      <c t="s">
        <v>5367</v>
      </c>
      <c t="s">
        <v>5368</v>
      </c>
      <c t="s">
        <v>5373</v>
      </c>
      <c t="s">
        <v>5374</v>
      </c>
      <c t="s">
        <v>5124</v>
      </c>
      <c t="s">
        <v>5375</v>
      </c>
    </row>
    <row r="110" spans="1:7" ht="11.25" customHeight="1">
      <c r="A110" s="376" t="s">
        <v>16</v>
      </c>
      <c t="s">
        <v>5367</v>
      </c>
      <c t="s">
        <v>5368</v>
      </c>
      <c t="s">
        <v>5376</v>
      </c>
      <c t="s">
        <v>5377</v>
      </c>
      <c t="s">
        <v>5124</v>
      </c>
      <c t="s">
        <v>5378</v>
      </c>
    </row>
    <row r="111" spans="1:7" ht="11.25" customHeight="1">
      <c r="A111" s="376" t="s">
        <v>16</v>
      </c>
      <c t="s">
        <v>5367</v>
      </c>
      <c t="s">
        <v>5368</v>
      </c>
      <c t="s">
        <v>5379</v>
      </c>
      <c t="s">
        <v>5380</v>
      </c>
      <c t="s">
        <v>5118</v>
      </c>
      <c t="s">
        <v>5381</v>
      </c>
    </row>
    <row r="112" spans="1:7" ht="11.25" customHeight="1">
      <c r="A112" s="376" t="s">
        <v>16</v>
      </c>
      <c t="s">
        <v>5367</v>
      </c>
      <c t="s">
        <v>5368</v>
      </c>
      <c t="s">
        <v>5382</v>
      </c>
      <c t="s">
        <v>5383</v>
      </c>
      <c t="s">
        <v>5124</v>
      </c>
      <c t="s">
        <v>5384</v>
      </c>
    </row>
    <row r="113" spans="1:7" ht="11.25" customHeight="1">
      <c r="A113" s="376" t="s">
        <v>16</v>
      </c>
      <c t="s">
        <v>5367</v>
      </c>
      <c t="s">
        <v>5368</v>
      </c>
      <c t="s">
        <v>5385</v>
      </c>
      <c t="s">
        <v>5386</v>
      </c>
      <c t="s">
        <v>5124</v>
      </c>
      <c t="s">
        <v>5387</v>
      </c>
    </row>
    <row r="114" spans="1:7" ht="11.25" customHeight="1">
      <c r="A114" s="376" t="s">
        <v>16</v>
      </c>
      <c t="s">
        <v>5367</v>
      </c>
      <c t="s">
        <v>5368</v>
      </c>
      <c t="s">
        <v>5388</v>
      </c>
      <c t="s">
        <v>5389</v>
      </c>
      <c t="s">
        <v>5124</v>
      </c>
      <c t="s">
        <v>5390</v>
      </c>
    </row>
    <row r="115" spans="1:7" ht="11.25" customHeight="1">
      <c r="A115" s="376" t="s">
        <v>16</v>
      </c>
      <c t="s">
        <v>5367</v>
      </c>
      <c t="s">
        <v>5368</v>
      </c>
      <c t="s">
        <v>5391</v>
      </c>
      <c t="s">
        <v>5392</v>
      </c>
      <c t="s">
        <v>5124</v>
      </c>
      <c t="s">
        <v>5393</v>
      </c>
    </row>
    <row r="116" spans="1:7" ht="11.25" customHeight="1">
      <c r="A116" s="376" t="s">
        <v>16</v>
      </c>
      <c t="s">
        <v>5367</v>
      </c>
      <c t="s">
        <v>5368</v>
      </c>
      <c t="s">
        <v>5394</v>
      </c>
      <c t="s">
        <v>5395</v>
      </c>
      <c t="s">
        <v>5124</v>
      </c>
      <c t="s">
        <v>5396</v>
      </c>
    </row>
    <row r="117" spans="1:7" ht="11.25" customHeight="1">
      <c r="A117" s="376" t="s">
        <v>16</v>
      </c>
      <c t="s">
        <v>5397</v>
      </c>
      <c t="s">
        <v>5398</v>
      </c>
      <c t="s">
        <v>5399</v>
      </c>
      <c t="s">
        <v>5400</v>
      </c>
      <c t="s">
        <v>5124</v>
      </c>
      <c t="s">
        <v>5401</v>
      </c>
    </row>
    <row r="118" spans="1:7" ht="11.25" customHeight="1">
      <c r="A118" s="376" t="s">
        <v>16</v>
      </c>
      <c t="s">
        <v>5397</v>
      </c>
      <c t="s">
        <v>5398</v>
      </c>
      <c t="s">
        <v>5402</v>
      </c>
      <c t="s">
        <v>5403</v>
      </c>
      <c t="s">
        <v>5124</v>
      </c>
      <c t="s">
        <v>5404</v>
      </c>
    </row>
    <row r="119" spans="1:7" ht="11.25" customHeight="1">
      <c r="A119" s="376" t="s">
        <v>16</v>
      </c>
      <c t="s">
        <v>5397</v>
      </c>
      <c t="s">
        <v>5398</v>
      </c>
      <c t="s">
        <v>5405</v>
      </c>
      <c t="s">
        <v>5406</v>
      </c>
      <c t="s">
        <v>5124</v>
      </c>
      <c t="s">
        <v>5407</v>
      </c>
    </row>
    <row r="120" spans="1:7" ht="11.25" customHeight="1">
      <c r="A120" s="376" t="s">
        <v>16</v>
      </c>
      <c t="s">
        <v>5397</v>
      </c>
      <c t="s">
        <v>5398</v>
      </c>
      <c t="s">
        <v>5408</v>
      </c>
      <c t="s">
        <v>5409</v>
      </c>
      <c t="s">
        <v>5124</v>
      </c>
      <c t="s">
        <v>5410</v>
      </c>
    </row>
    <row r="121" spans="1:7" ht="11.25" customHeight="1">
      <c r="A121" s="376" t="s">
        <v>16</v>
      </c>
      <c t="s">
        <v>5397</v>
      </c>
      <c t="s">
        <v>5398</v>
      </c>
      <c t="s">
        <v>5397</v>
      </c>
      <c t="s">
        <v>5398</v>
      </c>
      <c t="s">
        <v>5115</v>
      </c>
      <c t="s">
        <v>5411</v>
      </c>
    </row>
    <row r="122" spans="1:7" ht="11.25" customHeight="1">
      <c r="A122" s="376" t="s">
        <v>16</v>
      </c>
      <c t="s">
        <v>5397</v>
      </c>
      <c t="s">
        <v>5398</v>
      </c>
      <c t="s">
        <v>5412</v>
      </c>
      <c t="s">
        <v>5413</v>
      </c>
      <c t="s">
        <v>5124</v>
      </c>
      <c t="s">
        <v>5414</v>
      </c>
    </row>
    <row r="123" spans="1:7" ht="11.25" customHeight="1">
      <c r="A123" s="376" t="s">
        <v>16</v>
      </c>
      <c t="s">
        <v>5397</v>
      </c>
      <c t="s">
        <v>5398</v>
      </c>
      <c t="s">
        <v>5415</v>
      </c>
      <c t="s">
        <v>5416</v>
      </c>
      <c t="s">
        <v>5124</v>
      </c>
      <c t="s">
        <v>5417</v>
      </c>
    </row>
    <row r="124" spans="1:7" ht="11.25" customHeight="1">
      <c r="A124" s="376" t="s">
        <v>16</v>
      </c>
      <c t="s">
        <v>5397</v>
      </c>
      <c t="s">
        <v>5398</v>
      </c>
      <c t="s">
        <v>5418</v>
      </c>
      <c t="s">
        <v>5419</v>
      </c>
      <c t="s">
        <v>5124</v>
      </c>
      <c t="s">
        <v>5420</v>
      </c>
    </row>
    <row r="125" spans="1:7" ht="11.25" customHeight="1">
      <c r="A125" s="376" t="s">
        <v>16</v>
      </c>
      <c t="s">
        <v>5397</v>
      </c>
      <c t="s">
        <v>5398</v>
      </c>
      <c t="s">
        <v>5421</v>
      </c>
      <c t="s">
        <v>5422</v>
      </c>
      <c t="s">
        <v>5124</v>
      </c>
      <c t="s">
        <v>5423</v>
      </c>
    </row>
    <row r="126" spans="1:7" ht="11.25" customHeight="1">
      <c r="A126" s="376" t="s">
        <v>16</v>
      </c>
      <c t="s">
        <v>5424</v>
      </c>
      <c t="s">
        <v>5425</v>
      </c>
      <c t="s">
        <v>5426</v>
      </c>
      <c t="s">
        <v>5427</v>
      </c>
      <c t="s">
        <v>5124</v>
      </c>
      <c t="s">
        <v>5428</v>
      </c>
    </row>
    <row r="127" spans="1:7" ht="11.25" customHeight="1">
      <c r="A127" s="376" t="s">
        <v>16</v>
      </c>
      <c t="s">
        <v>5424</v>
      </c>
      <c t="s">
        <v>5425</v>
      </c>
      <c t="s">
        <v>5424</v>
      </c>
      <c t="s">
        <v>5425</v>
      </c>
      <c t="s">
        <v>5115</v>
      </c>
      <c t="s">
        <v>5429</v>
      </c>
    </row>
    <row r="128" spans="1:7" ht="11.25" customHeight="1">
      <c r="A128" s="376" t="s">
        <v>16</v>
      </c>
      <c t="s">
        <v>5424</v>
      </c>
      <c t="s">
        <v>5425</v>
      </c>
      <c t="s">
        <v>5430</v>
      </c>
      <c t="s">
        <v>5431</v>
      </c>
      <c t="s">
        <v>5124</v>
      </c>
      <c t="s">
        <v>5432</v>
      </c>
    </row>
    <row r="129" spans="1:7" ht="11.25" customHeight="1">
      <c r="A129" s="376" t="s">
        <v>16</v>
      </c>
      <c t="s">
        <v>5424</v>
      </c>
      <c t="s">
        <v>5425</v>
      </c>
      <c t="s">
        <v>5433</v>
      </c>
      <c t="s">
        <v>5434</v>
      </c>
      <c t="s">
        <v>5124</v>
      </c>
      <c t="s">
        <v>5435</v>
      </c>
    </row>
    <row r="130" spans="1:7" ht="11.25" customHeight="1">
      <c r="A130" s="376" t="s">
        <v>16</v>
      </c>
      <c t="s">
        <v>5424</v>
      </c>
      <c t="s">
        <v>5425</v>
      </c>
      <c t="s">
        <v>5436</v>
      </c>
      <c t="s">
        <v>5437</v>
      </c>
      <c t="s">
        <v>5124</v>
      </c>
      <c t="s">
        <v>5438</v>
      </c>
    </row>
    <row r="131" spans="1:7" ht="11.25" customHeight="1">
      <c r="A131" s="376" t="s">
        <v>16</v>
      </c>
      <c t="s">
        <v>5424</v>
      </c>
      <c t="s">
        <v>5425</v>
      </c>
      <c t="s">
        <v>5439</v>
      </c>
      <c t="s">
        <v>5440</v>
      </c>
      <c t="s">
        <v>5124</v>
      </c>
      <c t="s">
        <v>5441</v>
      </c>
    </row>
    <row r="132" spans="1:7" ht="11.25" customHeight="1">
      <c r="A132" s="376" t="s">
        <v>16</v>
      </c>
      <c t="s">
        <v>5424</v>
      </c>
      <c t="s">
        <v>5425</v>
      </c>
      <c t="s">
        <v>5442</v>
      </c>
      <c t="s">
        <v>5443</v>
      </c>
      <c t="s">
        <v>5124</v>
      </c>
      <c t="s">
        <v>5444</v>
      </c>
    </row>
    <row r="133" spans="1:7" ht="11.25" customHeight="1">
      <c r="A133" s="376" t="s">
        <v>16</v>
      </c>
      <c t="s">
        <v>5424</v>
      </c>
      <c t="s">
        <v>5425</v>
      </c>
      <c t="s">
        <v>5445</v>
      </c>
      <c t="s">
        <v>5446</v>
      </c>
      <c t="s">
        <v>5124</v>
      </c>
      <c t="s">
        <v>5447</v>
      </c>
    </row>
    <row r="134" spans="1:7" ht="11.25" customHeight="1">
      <c r="A134" s="376" t="s">
        <v>16</v>
      </c>
      <c t="s">
        <v>5424</v>
      </c>
      <c t="s">
        <v>5425</v>
      </c>
      <c t="s">
        <v>5448</v>
      </c>
      <c t="s">
        <v>5449</v>
      </c>
      <c t="s">
        <v>5124</v>
      </c>
      <c t="s">
        <v>5450</v>
      </c>
    </row>
    <row r="135" spans="1:7" ht="11.25" customHeight="1">
      <c r="A135" s="376" t="s">
        <v>16</v>
      </c>
      <c t="s">
        <v>5424</v>
      </c>
      <c t="s">
        <v>5425</v>
      </c>
      <c t="s">
        <v>5451</v>
      </c>
      <c t="s">
        <v>5452</v>
      </c>
      <c t="s">
        <v>5124</v>
      </c>
      <c t="s">
        <v>5453</v>
      </c>
    </row>
    <row r="136" spans="1:7" ht="11.25" customHeight="1">
      <c r="A136" s="376" t="s">
        <v>16</v>
      </c>
      <c t="s">
        <v>5454</v>
      </c>
      <c t="s">
        <v>5455</v>
      </c>
      <c t="s">
        <v>5456</v>
      </c>
      <c t="s">
        <v>5457</v>
      </c>
      <c t="s">
        <v>5124</v>
      </c>
      <c t="s">
        <v>5458</v>
      </c>
    </row>
    <row r="137" spans="1:7" ht="11.25" customHeight="1">
      <c r="A137" s="376" t="s">
        <v>16</v>
      </c>
      <c t="s">
        <v>5454</v>
      </c>
      <c t="s">
        <v>5455</v>
      </c>
      <c t="s">
        <v>5459</v>
      </c>
      <c t="s">
        <v>5460</v>
      </c>
      <c t="s">
        <v>5124</v>
      </c>
      <c t="s">
        <v>5461</v>
      </c>
    </row>
    <row r="138" spans="1:7" ht="11.25" customHeight="1">
      <c r="A138" s="376" t="s">
        <v>16</v>
      </c>
      <c t="s">
        <v>5454</v>
      </c>
      <c t="s">
        <v>5455</v>
      </c>
      <c t="s">
        <v>5462</v>
      </c>
      <c t="s">
        <v>5463</v>
      </c>
      <c t="s">
        <v>5124</v>
      </c>
      <c t="s">
        <v>5464</v>
      </c>
    </row>
    <row r="139" spans="1:7" ht="11.25" customHeight="1">
      <c r="A139" s="376" t="s">
        <v>16</v>
      </c>
      <c t="s">
        <v>5454</v>
      </c>
      <c t="s">
        <v>5455</v>
      </c>
      <c t="s">
        <v>5465</v>
      </c>
      <c t="s">
        <v>5466</v>
      </c>
      <c t="s">
        <v>5124</v>
      </c>
      <c t="s">
        <v>5467</v>
      </c>
    </row>
    <row r="140" spans="1:7" ht="11.25" customHeight="1">
      <c r="A140" s="376" t="s">
        <v>16</v>
      </c>
      <c t="s">
        <v>5454</v>
      </c>
      <c t="s">
        <v>5455</v>
      </c>
      <c t="s">
        <v>5454</v>
      </c>
      <c t="s">
        <v>5455</v>
      </c>
      <c t="s">
        <v>5115</v>
      </c>
      <c t="s">
        <v>5468</v>
      </c>
    </row>
    <row r="141" spans="1:7" ht="11.25" customHeight="1">
      <c r="A141" s="376" t="s">
        <v>16</v>
      </c>
      <c t="s">
        <v>5454</v>
      </c>
      <c t="s">
        <v>5455</v>
      </c>
      <c t="s">
        <v>5469</v>
      </c>
      <c t="s">
        <v>5470</v>
      </c>
      <c t="s">
        <v>5118</v>
      </c>
      <c t="s">
        <v>5471</v>
      </c>
    </row>
    <row r="142" spans="1:7" ht="11.25" customHeight="1">
      <c r="A142" s="376" t="s">
        <v>16</v>
      </c>
      <c t="s">
        <v>5454</v>
      </c>
      <c t="s">
        <v>5455</v>
      </c>
      <c t="s">
        <v>5472</v>
      </c>
      <c t="s">
        <v>5473</v>
      </c>
      <c t="s">
        <v>5124</v>
      </c>
      <c t="s">
        <v>5474</v>
      </c>
    </row>
    <row r="143" spans="1:7" ht="11.25" customHeight="1">
      <c r="A143" s="376" t="s">
        <v>16</v>
      </c>
      <c t="s">
        <v>5454</v>
      </c>
      <c t="s">
        <v>5455</v>
      </c>
      <c t="s">
        <v>5475</v>
      </c>
      <c t="s">
        <v>5476</v>
      </c>
      <c t="s">
        <v>5124</v>
      </c>
      <c t="s">
        <v>5477</v>
      </c>
    </row>
    <row r="144" spans="1:7" ht="11.25" customHeight="1">
      <c r="A144" s="376" t="s">
        <v>16</v>
      </c>
      <c t="s">
        <v>5454</v>
      </c>
      <c t="s">
        <v>5455</v>
      </c>
      <c t="s">
        <v>5478</v>
      </c>
      <c t="s">
        <v>5479</v>
      </c>
      <c t="s">
        <v>5124</v>
      </c>
      <c t="s">
        <v>5480</v>
      </c>
    </row>
    <row r="145" spans="1:7" ht="11.25" customHeight="1">
      <c r="A145" s="376" t="s">
        <v>16</v>
      </c>
      <c t="s">
        <v>5454</v>
      </c>
      <c t="s">
        <v>5455</v>
      </c>
      <c t="s">
        <v>5481</v>
      </c>
      <c t="s">
        <v>5482</v>
      </c>
      <c t="s">
        <v>5124</v>
      </c>
      <c t="s">
        <v>5483</v>
      </c>
    </row>
    <row r="146" spans="1:7" ht="11.25" customHeight="1">
      <c r="A146" s="376" t="s">
        <v>16</v>
      </c>
      <c t="s">
        <v>5454</v>
      </c>
      <c t="s">
        <v>5455</v>
      </c>
      <c t="s">
        <v>5484</v>
      </c>
      <c t="s">
        <v>5485</v>
      </c>
      <c t="s">
        <v>5124</v>
      </c>
      <c t="s">
        <v>5486</v>
      </c>
    </row>
    <row r="147" spans="1:7" ht="11.25" customHeight="1">
      <c r="A147" s="376" t="s">
        <v>16</v>
      </c>
      <c t="s">
        <v>5487</v>
      </c>
      <c t="s">
        <v>5488</v>
      </c>
      <c t="s">
        <v>5489</v>
      </c>
      <c t="s">
        <v>5490</v>
      </c>
      <c t="s">
        <v>5124</v>
      </c>
      <c t="s">
        <v>5491</v>
      </c>
    </row>
    <row r="148" spans="1:7" ht="11.25" customHeight="1">
      <c r="A148" s="376" t="s">
        <v>16</v>
      </c>
      <c t="s">
        <v>5487</v>
      </c>
      <c t="s">
        <v>5488</v>
      </c>
      <c t="s">
        <v>5487</v>
      </c>
      <c t="s">
        <v>5488</v>
      </c>
      <c t="s">
        <v>5115</v>
      </c>
      <c t="s">
        <v>5492</v>
      </c>
    </row>
    <row r="149" spans="1:7" ht="11.25" customHeight="1">
      <c r="A149" s="376" t="s">
        <v>16</v>
      </c>
      <c t="s">
        <v>5487</v>
      </c>
      <c t="s">
        <v>5488</v>
      </c>
      <c t="s">
        <v>5493</v>
      </c>
      <c t="s">
        <v>5494</v>
      </c>
      <c t="s">
        <v>5124</v>
      </c>
      <c t="s">
        <v>5495</v>
      </c>
    </row>
    <row r="150" spans="1:7" ht="11.25" customHeight="1">
      <c r="A150" s="376" t="s">
        <v>16</v>
      </c>
      <c t="s">
        <v>5487</v>
      </c>
      <c t="s">
        <v>5488</v>
      </c>
      <c t="s">
        <v>5496</v>
      </c>
      <c t="s">
        <v>5497</v>
      </c>
      <c t="s">
        <v>5124</v>
      </c>
      <c t="s">
        <v>5498</v>
      </c>
    </row>
    <row r="151" spans="1:7" ht="11.25" customHeight="1">
      <c r="A151" s="376" t="s">
        <v>16</v>
      </c>
      <c t="s">
        <v>5487</v>
      </c>
      <c t="s">
        <v>5488</v>
      </c>
      <c t="s">
        <v>5499</v>
      </c>
      <c t="s">
        <v>5500</v>
      </c>
      <c t="s">
        <v>5124</v>
      </c>
      <c t="s">
        <v>5501</v>
      </c>
    </row>
    <row r="152" spans="1:7" ht="11.25" customHeight="1">
      <c r="A152" s="376" t="s">
        <v>16</v>
      </c>
      <c t="s">
        <v>5487</v>
      </c>
      <c t="s">
        <v>5488</v>
      </c>
      <c t="s">
        <v>5502</v>
      </c>
      <c t="s">
        <v>5503</v>
      </c>
      <c t="s">
        <v>5124</v>
      </c>
      <c t="s">
        <v>5504</v>
      </c>
    </row>
    <row r="153" spans="1:7" ht="11.25" customHeight="1">
      <c r="A153" s="376" t="s">
        <v>16</v>
      </c>
      <c t="s">
        <v>5487</v>
      </c>
      <c t="s">
        <v>5488</v>
      </c>
      <c t="s">
        <v>5505</v>
      </c>
      <c t="s">
        <v>5506</v>
      </c>
      <c t="s">
        <v>5124</v>
      </c>
      <c t="s">
        <v>5507</v>
      </c>
    </row>
    <row r="154" spans="1:7" ht="11.25" customHeight="1">
      <c r="A154" s="376" t="s">
        <v>16</v>
      </c>
      <c t="s">
        <v>5487</v>
      </c>
      <c t="s">
        <v>5488</v>
      </c>
      <c t="s">
        <v>5508</v>
      </c>
      <c t="s">
        <v>5509</v>
      </c>
      <c t="s">
        <v>5124</v>
      </c>
      <c t="s">
        <v>5510</v>
      </c>
    </row>
    <row r="155" spans="1:7" ht="11.25" customHeight="1">
      <c r="A155" s="376" t="s">
        <v>16</v>
      </c>
      <c t="s">
        <v>5487</v>
      </c>
      <c t="s">
        <v>5488</v>
      </c>
      <c t="s">
        <v>5511</v>
      </c>
      <c t="s">
        <v>5512</v>
      </c>
      <c t="s">
        <v>5124</v>
      </c>
      <c t="s">
        <v>5513</v>
      </c>
    </row>
    <row r="156" spans="1:7" ht="11.25" customHeight="1">
      <c r="A156" s="376" t="s">
        <v>16</v>
      </c>
      <c t="s">
        <v>5487</v>
      </c>
      <c t="s">
        <v>5488</v>
      </c>
      <c t="s">
        <v>5514</v>
      </c>
      <c t="s">
        <v>5515</v>
      </c>
      <c t="s">
        <v>5124</v>
      </c>
      <c t="s">
        <v>5516</v>
      </c>
    </row>
    <row r="157" spans="1:7" ht="11.25" customHeight="1">
      <c r="A157" s="376" t="s">
        <v>16</v>
      </c>
      <c t="s">
        <v>5487</v>
      </c>
      <c t="s">
        <v>5488</v>
      </c>
      <c t="s">
        <v>5517</v>
      </c>
      <c t="s">
        <v>5518</v>
      </c>
      <c t="s">
        <v>5124</v>
      </c>
      <c t="s">
        <v>5519</v>
      </c>
    </row>
    <row r="158" spans="1:7" ht="11.25" customHeight="1">
      <c r="A158" s="376" t="s">
        <v>16</v>
      </c>
      <c t="s">
        <v>5520</v>
      </c>
      <c t="s">
        <v>5521</v>
      </c>
      <c t="s">
        <v>5520</v>
      </c>
      <c t="s">
        <v>5521</v>
      </c>
      <c t="s">
        <v>5115</v>
      </c>
      <c t="s">
        <v>5522</v>
      </c>
    </row>
    <row r="159" spans="1:7" ht="11.25" customHeight="1">
      <c r="A159" s="376" t="s">
        <v>16</v>
      </c>
      <c t="s">
        <v>5520</v>
      </c>
      <c t="s">
        <v>5521</v>
      </c>
      <c t="s">
        <v>5523</v>
      </c>
      <c t="s">
        <v>5524</v>
      </c>
      <c t="s">
        <v>5124</v>
      </c>
      <c t="s">
        <v>5525</v>
      </c>
    </row>
    <row r="160" spans="1:7" ht="11.25" customHeight="1">
      <c r="A160" s="376" t="s">
        <v>16</v>
      </c>
      <c t="s">
        <v>5520</v>
      </c>
      <c t="s">
        <v>5521</v>
      </c>
      <c t="s">
        <v>5526</v>
      </c>
      <c t="s">
        <v>5527</v>
      </c>
      <c t="s">
        <v>5124</v>
      </c>
      <c t="s">
        <v>5528</v>
      </c>
    </row>
    <row r="161" spans="1:7" ht="11.25" customHeight="1">
      <c r="A161" s="376" t="s">
        <v>16</v>
      </c>
      <c t="s">
        <v>5520</v>
      </c>
      <c t="s">
        <v>5521</v>
      </c>
      <c t="s">
        <v>5529</v>
      </c>
      <c t="s">
        <v>5530</v>
      </c>
      <c t="s">
        <v>5124</v>
      </c>
      <c t="s">
        <v>5531</v>
      </c>
    </row>
    <row r="162" spans="1:7" ht="11.25" customHeight="1">
      <c r="A162" s="376" t="s">
        <v>16</v>
      </c>
      <c t="s">
        <v>5520</v>
      </c>
      <c t="s">
        <v>5521</v>
      </c>
      <c t="s">
        <v>5532</v>
      </c>
      <c t="s">
        <v>5533</v>
      </c>
      <c t="s">
        <v>5124</v>
      </c>
      <c t="s">
        <v>5534</v>
      </c>
    </row>
    <row r="163" spans="1:7" ht="11.25" customHeight="1">
      <c r="A163" s="376" t="s">
        <v>16</v>
      </c>
      <c t="s">
        <v>5520</v>
      </c>
      <c t="s">
        <v>5521</v>
      </c>
      <c t="s">
        <v>5499</v>
      </c>
      <c t="s">
        <v>5535</v>
      </c>
      <c t="s">
        <v>5124</v>
      </c>
      <c t="s">
        <v>5536</v>
      </c>
    </row>
    <row r="164" spans="1:7" ht="11.25" customHeight="1">
      <c r="A164" s="376" t="s">
        <v>16</v>
      </c>
      <c t="s">
        <v>5520</v>
      </c>
      <c t="s">
        <v>5521</v>
      </c>
      <c t="s">
        <v>5537</v>
      </c>
      <c t="s">
        <v>5538</v>
      </c>
      <c t="s">
        <v>5124</v>
      </c>
      <c t="s">
        <v>5539</v>
      </c>
    </row>
    <row r="165" spans="1:7" ht="11.25" customHeight="1">
      <c r="A165" s="376" t="s">
        <v>16</v>
      </c>
      <c t="s">
        <v>5540</v>
      </c>
      <c t="s">
        <v>5541</v>
      </c>
      <c t="s">
        <v>5542</v>
      </c>
      <c t="s">
        <v>5543</v>
      </c>
      <c t="s">
        <v>5124</v>
      </c>
      <c t="s">
        <v>5544</v>
      </c>
    </row>
    <row r="166" spans="1:7" ht="11.25" customHeight="1">
      <c r="A166" s="376" t="s">
        <v>16</v>
      </c>
      <c t="s">
        <v>5540</v>
      </c>
      <c t="s">
        <v>5541</v>
      </c>
      <c t="s">
        <v>5545</v>
      </c>
      <c t="s">
        <v>5546</v>
      </c>
      <c t="s">
        <v>5124</v>
      </c>
      <c t="s">
        <v>5547</v>
      </c>
    </row>
    <row r="167" spans="1:7" ht="11.25" customHeight="1">
      <c r="A167" s="376" t="s">
        <v>16</v>
      </c>
      <c t="s">
        <v>5540</v>
      </c>
      <c t="s">
        <v>5541</v>
      </c>
      <c t="s">
        <v>5548</v>
      </c>
      <c t="s">
        <v>5549</v>
      </c>
      <c t="s">
        <v>5124</v>
      </c>
      <c t="s">
        <v>5550</v>
      </c>
    </row>
    <row r="168" spans="1:7" ht="11.25" customHeight="1">
      <c r="A168" s="376" t="s">
        <v>16</v>
      </c>
      <c t="s">
        <v>5540</v>
      </c>
      <c t="s">
        <v>5541</v>
      </c>
      <c t="s">
        <v>5551</v>
      </c>
      <c t="s">
        <v>5552</v>
      </c>
      <c t="s">
        <v>5124</v>
      </c>
      <c t="s">
        <v>5553</v>
      </c>
    </row>
    <row r="169" spans="1:7" ht="11.25" customHeight="1">
      <c r="A169" s="376" t="s">
        <v>16</v>
      </c>
      <c t="s">
        <v>5540</v>
      </c>
      <c t="s">
        <v>5541</v>
      </c>
      <c t="s">
        <v>5540</v>
      </c>
      <c t="s">
        <v>5541</v>
      </c>
      <c t="s">
        <v>5115</v>
      </c>
      <c t="s">
        <v>5554</v>
      </c>
    </row>
    <row r="170" spans="1:7" ht="11.25" customHeight="1">
      <c r="A170" s="376" t="s">
        <v>16</v>
      </c>
      <c t="s">
        <v>5540</v>
      </c>
      <c t="s">
        <v>5541</v>
      </c>
      <c t="s">
        <v>5555</v>
      </c>
      <c t="s">
        <v>5556</v>
      </c>
      <c t="s">
        <v>5118</v>
      </c>
      <c t="s">
        <v>5557</v>
      </c>
    </row>
    <row r="171" spans="1:7" ht="11.25" customHeight="1">
      <c r="A171" s="376" t="s">
        <v>16</v>
      </c>
      <c t="s">
        <v>5540</v>
      </c>
      <c t="s">
        <v>5541</v>
      </c>
      <c t="s">
        <v>5558</v>
      </c>
      <c t="s">
        <v>5559</v>
      </c>
      <c t="s">
        <v>5124</v>
      </c>
      <c t="s">
        <v>5560</v>
      </c>
    </row>
    <row r="172" spans="1:7" ht="11.25" customHeight="1">
      <c r="A172" s="376" t="s">
        <v>16</v>
      </c>
      <c t="s">
        <v>5540</v>
      </c>
      <c t="s">
        <v>5541</v>
      </c>
      <c t="s">
        <v>5561</v>
      </c>
      <c t="s">
        <v>5562</v>
      </c>
      <c t="s">
        <v>5124</v>
      </c>
      <c t="s">
        <v>5563</v>
      </c>
    </row>
    <row r="173" spans="1:7" ht="11.25" customHeight="1">
      <c r="A173" s="376" t="s">
        <v>16</v>
      </c>
      <c t="s">
        <v>5540</v>
      </c>
      <c t="s">
        <v>5541</v>
      </c>
      <c t="s">
        <v>5564</v>
      </c>
      <c t="s">
        <v>5565</v>
      </c>
      <c t="s">
        <v>5124</v>
      </c>
      <c t="s">
        <v>5566</v>
      </c>
    </row>
    <row r="174" spans="1:7" ht="11.25" customHeight="1">
      <c r="A174" s="376" t="s">
        <v>16</v>
      </c>
      <c t="s">
        <v>5540</v>
      </c>
      <c t="s">
        <v>5541</v>
      </c>
      <c t="s">
        <v>5567</v>
      </c>
      <c t="s">
        <v>5568</v>
      </c>
      <c t="s">
        <v>5124</v>
      </c>
      <c t="s">
        <v>5569</v>
      </c>
    </row>
    <row r="175" spans="1:7" ht="11.25" customHeight="1">
      <c r="A175" s="376" t="s">
        <v>16</v>
      </c>
      <c t="s">
        <v>5540</v>
      </c>
      <c t="s">
        <v>5541</v>
      </c>
      <c t="s">
        <v>5570</v>
      </c>
      <c t="s">
        <v>5571</v>
      </c>
      <c t="s">
        <v>5124</v>
      </c>
      <c t="s">
        <v>5572</v>
      </c>
    </row>
    <row r="176" spans="1:7" ht="11.25" customHeight="1">
      <c r="A176" s="376" t="s">
        <v>16</v>
      </c>
      <c t="s">
        <v>5540</v>
      </c>
      <c t="s">
        <v>5541</v>
      </c>
      <c t="s">
        <v>5573</v>
      </c>
      <c t="s">
        <v>5574</v>
      </c>
      <c t="s">
        <v>5124</v>
      </c>
      <c t="s">
        <v>5575</v>
      </c>
    </row>
    <row r="177" spans="1:7" ht="11.25" customHeight="1">
      <c r="A177" s="376" t="s">
        <v>16</v>
      </c>
      <c t="s">
        <v>5576</v>
      </c>
      <c t="s">
        <v>5577</v>
      </c>
      <c t="s">
        <v>5578</v>
      </c>
      <c t="s">
        <v>5579</v>
      </c>
      <c t="s">
        <v>5124</v>
      </c>
      <c t="s">
        <v>5580</v>
      </c>
    </row>
    <row r="178" spans="1:7" ht="11.25" customHeight="1">
      <c r="A178" s="376" t="s">
        <v>16</v>
      </c>
      <c t="s">
        <v>5576</v>
      </c>
      <c t="s">
        <v>5577</v>
      </c>
      <c t="s">
        <v>5581</v>
      </c>
      <c t="s">
        <v>5582</v>
      </c>
      <c t="s">
        <v>5124</v>
      </c>
      <c t="s">
        <v>5583</v>
      </c>
    </row>
    <row r="179" spans="1:7" ht="11.25" customHeight="1">
      <c r="A179" s="376" t="s">
        <v>16</v>
      </c>
      <c t="s">
        <v>5576</v>
      </c>
      <c t="s">
        <v>5577</v>
      </c>
      <c t="s">
        <v>5584</v>
      </c>
      <c t="s">
        <v>5585</v>
      </c>
      <c t="s">
        <v>5124</v>
      </c>
      <c t="s">
        <v>5586</v>
      </c>
    </row>
    <row r="180" spans="1:7" ht="11.25" customHeight="1">
      <c r="A180" s="376" t="s">
        <v>16</v>
      </c>
      <c t="s">
        <v>5576</v>
      </c>
      <c t="s">
        <v>5577</v>
      </c>
      <c t="s">
        <v>5576</v>
      </c>
      <c t="s">
        <v>5577</v>
      </c>
      <c t="s">
        <v>5115</v>
      </c>
      <c t="s">
        <v>5587</v>
      </c>
    </row>
    <row r="181" spans="1:7" ht="11.25" customHeight="1">
      <c r="A181" s="376" t="s">
        <v>16</v>
      </c>
      <c t="s">
        <v>5576</v>
      </c>
      <c t="s">
        <v>5577</v>
      </c>
      <c t="s">
        <v>5588</v>
      </c>
      <c t="s">
        <v>5589</v>
      </c>
      <c t="s">
        <v>5118</v>
      </c>
      <c t="s">
        <v>5590</v>
      </c>
    </row>
    <row r="182" spans="1:7" ht="11.25" customHeight="1">
      <c r="A182" s="376" t="s">
        <v>16</v>
      </c>
      <c t="s">
        <v>5576</v>
      </c>
      <c t="s">
        <v>5577</v>
      </c>
      <c t="s">
        <v>5591</v>
      </c>
      <c t="s">
        <v>5592</v>
      </c>
      <c t="s">
        <v>5124</v>
      </c>
      <c t="s">
        <v>5593</v>
      </c>
    </row>
    <row r="183" spans="1:7" ht="11.25" customHeight="1">
      <c r="A183" s="376" t="s">
        <v>16</v>
      </c>
      <c t="s">
        <v>5576</v>
      </c>
      <c t="s">
        <v>5577</v>
      </c>
      <c t="s">
        <v>5594</v>
      </c>
      <c t="s">
        <v>5595</v>
      </c>
      <c t="s">
        <v>5124</v>
      </c>
      <c t="s">
        <v>5596</v>
      </c>
    </row>
    <row r="184" spans="1:7" ht="11.25" customHeight="1">
      <c r="A184" s="376" t="s">
        <v>16</v>
      </c>
      <c t="s">
        <v>5576</v>
      </c>
      <c t="s">
        <v>5577</v>
      </c>
      <c t="s">
        <v>5499</v>
      </c>
      <c t="s">
        <v>5597</v>
      </c>
      <c t="s">
        <v>5124</v>
      </c>
      <c t="s">
        <v>5598</v>
      </c>
    </row>
    <row r="185" spans="1:7" ht="11.25" customHeight="1">
      <c r="A185" s="376" t="s">
        <v>16</v>
      </c>
      <c t="s">
        <v>5576</v>
      </c>
      <c t="s">
        <v>5577</v>
      </c>
      <c t="s">
        <v>5599</v>
      </c>
      <c t="s">
        <v>5600</v>
      </c>
      <c t="s">
        <v>5124</v>
      </c>
      <c t="s">
        <v>5601</v>
      </c>
    </row>
    <row r="186" spans="1:7" ht="11.25" customHeight="1">
      <c r="A186" s="376" t="s">
        <v>16</v>
      </c>
      <c t="s">
        <v>5576</v>
      </c>
      <c t="s">
        <v>5577</v>
      </c>
      <c t="s">
        <v>5185</v>
      </c>
      <c t="s">
        <v>5602</v>
      </c>
      <c t="s">
        <v>5124</v>
      </c>
      <c t="s">
        <v>5603</v>
      </c>
    </row>
    <row r="187" spans="1:7" ht="11.25" customHeight="1">
      <c r="A187" s="376" t="s">
        <v>16</v>
      </c>
      <c t="s">
        <v>5576</v>
      </c>
      <c t="s">
        <v>5577</v>
      </c>
      <c t="s">
        <v>5604</v>
      </c>
      <c t="s">
        <v>5605</v>
      </c>
      <c t="s">
        <v>5124</v>
      </c>
      <c t="s">
        <v>5606</v>
      </c>
    </row>
    <row r="188" spans="1:7" ht="11.25" customHeight="1">
      <c r="A188" s="376" t="s">
        <v>16</v>
      </c>
      <c t="s">
        <v>5607</v>
      </c>
      <c t="s">
        <v>5608</v>
      </c>
      <c t="s">
        <v>5609</v>
      </c>
      <c t="s">
        <v>5610</v>
      </c>
      <c t="s">
        <v>5124</v>
      </c>
      <c t="s">
        <v>5611</v>
      </c>
    </row>
    <row r="189" spans="1:7" ht="11.25" customHeight="1">
      <c r="A189" s="376" t="s">
        <v>16</v>
      </c>
      <c t="s">
        <v>5607</v>
      </c>
      <c t="s">
        <v>5608</v>
      </c>
      <c t="s">
        <v>5612</v>
      </c>
      <c t="s">
        <v>5613</v>
      </c>
      <c t="s">
        <v>5124</v>
      </c>
      <c t="s">
        <v>5614</v>
      </c>
    </row>
    <row r="190" spans="1:7" ht="11.25" customHeight="1">
      <c r="A190" s="376" t="s">
        <v>16</v>
      </c>
      <c t="s">
        <v>5607</v>
      </c>
      <c t="s">
        <v>5608</v>
      </c>
      <c t="s">
        <v>5615</v>
      </c>
      <c t="s">
        <v>5616</v>
      </c>
      <c t="s">
        <v>5124</v>
      </c>
      <c t="s">
        <v>5617</v>
      </c>
    </row>
    <row r="191" spans="1:7" ht="11.25" customHeight="1">
      <c r="A191" s="376" t="s">
        <v>16</v>
      </c>
      <c t="s">
        <v>5607</v>
      </c>
      <c t="s">
        <v>5608</v>
      </c>
      <c t="s">
        <v>5618</v>
      </c>
      <c t="s">
        <v>5619</v>
      </c>
      <c t="s">
        <v>5124</v>
      </c>
      <c t="s">
        <v>5620</v>
      </c>
    </row>
    <row r="192" spans="1:7" ht="11.25" customHeight="1">
      <c r="A192" s="376" t="s">
        <v>16</v>
      </c>
      <c t="s">
        <v>5607</v>
      </c>
      <c t="s">
        <v>5608</v>
      </c>
      <c t="s">
        <v>5311</v>
      </c>
      <c t="s">
        <v>5621</v>
      </c>
      <c t="s">
        <v>5124</v>
      </c>
      <c t="s">
        <v>5622</v>
      </c>
    </row>
    <row r="193" spans="1:7" ht="11.25" customHeight="1">
      <c r="A193" s="376" t="s">
        <v>16</v>
      </c>
      <c t="s">
        <v>5607</v>
      </c>
      <c t="s">
        <v>5608</v>
      </c>
      <c t="s">
        <v>5607</v>
      </c>
      <c t="s">
        <v>5608</v>
      </c>
      <c t="s">
        <v>5115</v>
      </c>
      <c t="s">
        <v>5623</v>
      </c>
    </row>
    <row r="194" spans="1:7" ht="11.25" customHeight="1">
      <c r="A194" s="376" t="s">
        <v>16</v>
      </c>
      <c t="s">
        <v>5607</v>
      </c>
      <c t="s">
        <v>5608</v>
      </c>
      <c t="s">
        <v>5624</v>
      </c>
      <c t="s">
        <v>5625</v>
      </c>
      <c t="s">
        <v>5124</v>
      </c>
      <c t="s">
        <v>5626</v>
      </c>
    </row>
    <row r="195" spans="1:7" ht="11.25" customHeight="1">
      <c r="A195" s="376" t="s">
        <v>16</v>
      </c>
      <c t="s">
        <v>5607</v>
      </c>
      <c t="s">
        <v>5608</v>
      </c>
      <c t="s">
        <v>5627</v>
      </c>
      <c t="s">
        <v>5628</v>
      </c>
      <c t="s">
        <v>5124</v>
      </c>
      <c t="s">
        <v>5629</v>
      </c>
    </row>
    <row r="196" spans="1:7" ht="11.25" customHeight="1">
      <c r="A196" s="376" t="s">
        <v>16</v>
      </c>
      <c t="s">
        <v>5607</v>
      </c>
      <c t="s">
        <v>5608</v>
      </c>
      <c t="s">
        <v>5181</v>
      </c>
      <c t="s">
        <v>5630</v>
      </c>
      <c t="s">
        <v>5124</v>
      </c>
      <c t="s">
        <v>5631</v>
      </c>
    </row>
    <row r="197" spans="1:7" ht="11.25" customHeight="1">
      <c r="A197" s="376" t="s">
        <v>16</v>
      </c>
      <c t="s">
        <v>5607</v>
      </c>
      <c t="s">
        <v>5608</v>
      </c>
      <c t="s">
        <v>5632</v>
      </c>
      <c t="s">
        <v>5633</v>
      </c>
      <c t="s">
        <v>5124</v>
      </c>
      <c t="s">
        <v>5634</v>
      </c>
    </row>
    <row r="198" spans="1:7" ht="11.25" customHeight="1">
      <c r="A198" s="376" t="s">
        <v>16</v>
      </c>
      <c t="s">
        <v>5607</v>
      </c>
      <c t="s">
        <v>5608</v>
      </c>
      <c t="s">
        <v>5481</v>
      </c>
      <c t="s">
        <v>5635</v>
      </c>
      <c t="s">
        <v>5124</v>
      </c>
      <c t="s">
        <v>5636</v>
      </c>
    </row>
    <row r="199" spans="1:7" ht="11.25" customHeight="1">
      <c r="A199" s="376" t="s">
        <v>16</v>
      </c>
      <c t="s">
        <v>5607</v>
      </c>
      <c t="s">
        <v>5608</v>
      </c>
      <c t="s">
        <v>5637</v>
      </c>
      <c t="s">
        <v>5638</v>
      </c>
      <c t="s">
        <v>5124</v>
      </c>
      <c t="s">
        <v>5639</v>
      </c>
    </row>
    <row r="200" spans="1:7" ht="11.25" customHeight="1">
      <c r="A200" s="376" t="s">
        <v>16</v>
      </c>
      <c t="s">
        <v>5607</v>
      </c>
      <c t="s">
        <v>5608</v>
      </c>
      <c t="s">
        <v>5640</v>
      </c>
      <c t="s">
        <v>5641</v>
      </c>
      <c t="s">
        <v>5124</v>
      </c>
      <c t="s">
        <v>5642</v>
      </c>
    </row>
    <row r="201" spans="1:7" ht="11.25" customHeight="1">
      <c r="A201" s="376" t="s">
        <v>16</v>
      </c>
      <c t="s">
        <v>5643</v>
      </c>
      <c t="s">
        <v>5644</v>
      </c>
      <c t="s">
        <v>5645</v>
      </c>
      <c t="s">
        <v>5646</v>
      </c>
      <c t="s">
        <v>5124</v>
      </c>
      <c t="s">
        <v>5647</v>
      </c>
    </row>
    <row r="202" spans="1:7" ht="11.25" customHeight="1">
      <c r="A202" s="376" t="s">
        <v>16</v>
      </c>
      <c t="s">
        <v>5643</v>
      </c>
      <c t="s">
        <v>5644</v>
      </c>
      <c t="s">
        <v>5648</v>
      </c>
      <c t="s">
        <v>5649</v>
      </c>
      <c t="s">
        <v>5124</v>
      </c>
      <c t="s">
        <v>5650</v>
      </c>
    </row>
    <row r="203" spans="1:7" ht="11.25" customHeight="1">
      <c r="A203" s="376" t="s">
        <v>16</v>
      </c>
      <c t="s">
        <v>5643</v>
      </c>
      <c t="s">
        <v>5644</v>
      </c>
      <c t="s">
        <v>5651</v>
      </c>
      <c t="s">
        <v>5652</v>
      </c>
      <c t="s">
        <v>5124</v>
      </c>
      <c t="s">
        <v>5653</v>
      </c>
    </row>
    <row r="204" spans="1:7" ht="11.25" customHeight="1">
      <c r="A204" s="376" t="s">
        <v>16</v>
      </c>
      <c t="s">
        <v>5643</v>
      </c>
      <c t="s">
        <v>5644</v>
      </c>
      <c t="s">
        <v>5654</v>
      </c>
      <c t="s">
        <v>5655</v>
      </c>
      <c t="s">
        <v>5124</v>
      </c>
      <c t="s">
        <v>5656</v>
      </c>
    </row>
    <row r="205" spans="1:7" ht="11.25" customHeight="1">
      <c r="A205" s="376" t="s">
        <v>16</v>
      </c>
      <c t="s">
        <v>5643</v>
      </c>
      <c t="s">
        <v>5644</v>
      </c>
      <c t="s">
        <v>5657</v>
      </c>
      <c t="s">
        <v>5658</v>
      </c>
      <c t="s">
        <v>5124</v>
      </c>
      <c t="s">
        <v>5659</v>
      </c>
    </row>
    <row r="206" spans="1:7" ht="11.25" customHeight="1">
      <c r="A206" s="376" t="s">
        <v>16</v>
      </c>
      <c t="s">
        <v>5643</v>
      </c>
      <c t="s">
        <v>5644</v>
      </c>
      <c t="s">
        <v>5643</v>
      </c>
      <c t="s">
        <v>5644</v>
      </c>
      <c t="s">
        <v>5115</v>
      </c>
      <c t="s">
        <v>5660</v>
      </c>
    </row>
    <row r="207" spans="1:7" ht="11.25" customHeight="1">
      <c r="A207" s="376" t="s">
        <v>16</v>
      </c>
      <c t="s">
        <v>5643</v>
      </c>
      <c t="s">
        <v>5644</v>
      </c>
      <c t="s">
        <v>5661</v>
      </c>
      <c t="s">
        <v>5662</v>
      </c>
      <c t="s">
        <v>5118</v>
      </c>
      <c t="s">
        <v>5663</v>
      </c>
    </row>
    <row r="208" spans="1:7" ht="11.25" customHeight="1">
      <c r="A208" s="376" t="s">
        <v>16</v>
      </c>
      <c t="s">
        <v>5643</v>
      </c>
      <c t="s">
        <v>5644</v>
      </c>
      <c t="s">
        <v>5664</v>
      </c>
      <c t="s">
        <v>5665</v>
      </c>
      <c t="s">
        <v>5124</v>
      </c>
      <c t="s">
        <v>5666</v>
      </c>
    </row>
    <row r="209" spans="1:7" ht="11.25" customHeight="1">
      <c r="A209" s="376" t="s">
        <v>16</v>
      </c>
      <c t="s">
        <v>5643</v>
      </c>
      <c t="s">
        <v>5644</v>
      </c>
      <c t="s">
        <v>5667</v>
      </c>
      <c t="s">
        <v>5668</v>
      </c>
      <c t="s">
        <v>5124</v>
      </c>
      <c t="s">
        <v>5669</v>
      </c>
    </row>
    <row r="210" spans="1:7" ht="11.25" customHeight="1">
      <c r="A210" s="376" t="s">
        <v>16</v>
      </c>
      <c t="s">
        <v>5643</v>
      </c>
      <c t="s">
        <v>5644</v>
      </c>
      <c t="s">
        <v>5670</v>
      </c>
      <c t="s">
        <v>5671</v>
      </c>
      <c t="s">
        <v>5124</v>
      </c>
      <c t="s">
        <v>5672</v>
      </c>
    </row>
    <row r="211" spans="1:7" ht="11.25" customHeight="1">
      <c r="A211" s="376" t="s">
        <v>16</v>
      </c>
      <c t="s">
        <v>5643</v>
      </c>
      <c t="s">
        <v>5644</v>
      </c>
      <c t="s">
        <v>5673</v>
      </c>
      <c t="s">
        <v>5674</v>
      </c>
      <c t="s">
        <v>5124</v>
      </c>
      <c t="s">
        <v>5675</v>
      </c>
    </row>
    <row r="212" spans="1:7" ht="11.25" customHeight="1">
      <c r="A212" s="376" t="s">
        <v>16</v>
      </c>
      <c t="s">
        <v>5643</v>
      </c>
      <c t="s">
        <v>5644</v>
      </c>
      <c t="s">
        <v>5676</v>
      </c>
      <c t="s">
        <v>5677</v>
      </c>
      <c t="s">
        <v>5124</v>
      </c>
      <c t="s">
        <v>5678</v>
      </c>
    </row>
    <row r="213" spans="1:7" ht="11.25" customHeight="1">
      <c r="A213" s="376" t="s">
        <v>16</v>
      </c>
      <c t="s">
        <v>5643</v>
      </c>
      <c t="s">
        <v>5644</v>
      </c>
      <c t="s">
        <v>5679</v>
      </c>
      <c t="s">
        <v>5680</v>
      </c>
      <c t="s">
        <v>5124</v>
      </c>
      <c t="s">
        <v>5681</v>
      </c>
    </row>
    <row r="214" spans="1:7" ht="11.25" customHeight="1">
      <c r="A214" s="376" t="s">
        <v>16</v>
      </c>
      <c t="s">
        <v>5643</v>
      </c>
      <c t="s">
        <v>5644</v>
      </c>
      <c t="s">
        <v>5682</v>
      </c>
      <c t="s">
        <v>5683</v>
      </c>
      <c t="s">
        <v>5124</v>
      </c>
      <c t="s">
        <v>5684</v>
      </c>
    </row>
    <row r="215" spans="1:7" ht="11.25" customHeight="1">
      <c r="A215" s="376" t="s">
        <v>16</v>
      </c>
      <c t="s">
        <v>5685</v>
      </c>
      <c t="s">
        <v>5686</v>
      </c>
      <c t="s">
        <v>5687</v>
      </c>
      <c t="s">
        <v>5688</v>
      </c>
      <c t="s">
        <v>5124</v>
      </c>
      <c t="s">
        <v>5689</v>
      </c>
    </row>
    <row r="216" spans="1:7" ht="11.25" customHeight="1">
      <c r="A216" s="376" t="s">
        <v>16</v>
      </c>
      <c t="s">
        <v>5685</v>
      </c>
      <c t="s">
        <v>5686</v>
      </c>
      <c t="s">
        <v>5690</v>
      </c>
      <c t="s">
        <v>5691</v>
      </c>
      <c t="s">
        <v>5124</v>
      </c>
      <c t="s">
        <v>5692</v>
      </c>
    </row>
    <row r="217" spans="1:7" ht="11.25" customHeight="1">
      <c r="A217" s="376" t="s">
        <v>16</v>
      </c>
      <c t="s">
        <v>5685</v>
      </c>
      <c t="s">
        <v>5686</v>
      </c>
      <c t="s">
        <v>5693</v>
      </c>
      <c t="s">
        <v>5694</v>
      </c>
      <c t="s">
        <v>5124</v>
      </c>
      <c t="s">
        <v>5695</v>
      </c>
    </row>
    <row r="218" spans="1:7" ht="11.25" customHeight="1">
      <c r="A218" s="376" t="s">
        <v>16</v>
      </c>
      <c t="s">
        <v>5685</v>
      </c>
      <c t="s">
        <v>5686</v>
      </c>
      <c t="s">
        <v>5696</v>
      </c>
      <c t="s">
        <v>5697</v>
      </c>
      <c t="s">
        <v>5124</v>
      </c>
      <c t="s">
        <v>5698</v>
      </c>
    </row>
    <row r="219" spans="1:7" ht="11.25" customHeight="1">
      <c r="A219" s="376" t="s">
        <v>16</v>
      </c>
      <c t="s">
        <v>5685</v>
      </c>
      <c t="s">
        <v>5686</v>
      </c>
      <c t="s">
        <v>5523</v>
      </c>
      <c t="s">
        <v>5699</v>
      </c>
      <c t="s">
        <v>5124</v>
      </c>
      <c t="s">
        <v>5700</v>
      </c>
    </row>
    <row r="220" spans="1:7" ht="11.25" customHeight="1">
      <c r="A220" s="376" t="s">
        <v>16</v>
      </c>
      <c t="s">
        <v>5685</v>
      </c>
      <c t="s">
        <v>5686</v>
      </c>
      <c t="s">
        <v>5701</v>
      </c>
      <c t="s">
        <v>5702</v>
      </c>
      <c t="s">
        <v>5124</v>
      </c>
      <c t="s">
        <v>5703</v>
      </c>
    </row>
    <row r="221" spans="1:7" ht="11.25" customHeight="1">
      <c r="A221" s="376" t="s">
        <v>16</v>
      </c>
      <c t="s">
        <v>5685</v>
      </c>
      <c t="s">
        <v>5686</v>
      </c>
      <c t="s">
        <v>5685</v>
      </c>
      <c t="s">
        <v>5686</v>
      </c>
      <c t="s">
        <v>5115</v>
      </c>
      <c t="s">
        <v>5704</v>
      </c>
    </row>
    <row r="222" spans="1:7" ht="11.25" customHeight="1">
      <c r="A222" s="376" t="s">
        <v>16</v>
      </c>
      <c t="s">
        <v>5685</v>
      </c>
      <c t="s">
        <v>5686</v>
      </c>
      <c t="s">
        <v>5705</v>
      </c>
      <c t="s">
        <v>5706</v>
      </c>
      <c t="s">
        <v>5124</v>
      </c>
      <c t="s">
        <v>5707</v>
      </c>
    </row>
    <row r="223" spans="1:7" ht="11.25" customHeight="1">
      <c r="A223" s="376" t="s">
        <v>16</v>
      </c>
      <c t="s">
        <v>5685</v>
      </c>
      <c t="s">
        <v>5686</v>
      </c>
      <c t="s">
        <v>5708</v>
      </c>
      <c t="s">
        <v>5709</v>
      </c>
      <c t="s">
        <v>5124</v>
      </c>
      <c t="s">
        <v>5710</v>
      </c>
    </row>
    <row r="224" spans="1:7" ht="11.25" customHeight="1">
      <c r="A224" s="376" t="s">
        <v>16</v>
      </c>
      <c t="s">
        <v>5685</v>
      </c>
      <c t="s">
        <v>5686</v>
      </c>
      <c t="s">
        <v>5711</v>
      </c>
      <c t="s">
        <v>5712</v>
      </c>
      <c t="s">
        <v>5124</v>
      </c>
      <c t="s">
        <v>5713</v>
      </c>
    </row>
    <row r="225" spans="1:7" ht="11.25" customHeight="1">
      <c r="A225" s="376" t="s">
        <v>16</v>
      </c>
      <c t="s">
        <v>5685</v>
      </c>
      <c t="s">
        <v>5686</v>
      </c>
      <c t="s">
        <v>5714</v>
      </c>
      <c t="s">
        <v>5715</v>
      </c>
      <c t="s">
        <v>5124</v>
      </c>
      <c t="s">
        <v>5716</v>
      </c>
    </row>
    <row r="226" spans="1:7" ht="11.25" customHeight="1">
      <c r="A226" s="376" t="s">
        <v>16</v>
      </c>
      <c t="s">
        <v>5685</v>
      </c>
      <c t="s">
        <v>5686</v>
      </c>
      <c t="s">
        <v>5181</v>
      </c>
      <c t="s">
        <v>5717</v>
      </c>
      <c t="s">
        <v>5124</v>
      </c>
      <c t="s">
        <v>5718</v>
      </c>
    </row>
    <row r="227" spans="1:7" ht="11.25" customHeight="1">
      <c r="A227" s="376" t="s">
        <v>16</v>
      </c>
      <c t="s">
        <v>5685</v>
      </c>
      <c t="s">
        <v>5686</v>
      </c>
      <c t="s">
        <v>5719</v>
      </c>
      <c t="s">
        <v>5720</v>
      </c>
      <c t="s">
        <v>5124</v>
      </c>
      <c t="s">
        <v>5721</v>
      </c>
    </row>
    <row r="228" spans="1:7" ht="11.25" customHeight="1">
      <c r="A228" s="376" t="s">
        <v>16</v>
      </c>
      <c t="s">
        <v>5722</v>
      </c>
      <c t="s">
        <v>5723</v>
      </c>
      <c t="s">
        <v>5724</v>
      </c>
      <c t="s">
        <v>5725</v>
      </c>
      <c t="s">
        <v>5124</v>
      </c>
      <c t="s">
        <v>5726</v>
      </c>
    </row>
    <row r="229" spans="1:7" ht="11.25" customHeight="1">
      <c r="A229" s="376" t="s">
        <v>16</v>
      </c>
      <c t="s">
        <v>5722</v>
      </c>
      <c t="s">
        <v>5723</v>
      </c>
      <c t="s">
        <v>5727</v>
      </c>
      <c t="s">
        <v>5728</v>
      </c>
      <c t="s">
        <v>5124</v>
      </c>
      <c t="s">
        <v>5729</v>
      </c>
    </row>
    <row r="230" spans="1:7" ht="11.25" customHeight="1">
      <c r="A230" s="376" t="s">
        <v>16</v>
      </c>
      <c t="s">
        <v>5722</v>
      </c>
      <c t="s">
        <v>5723</v>
      </c>
      <c t="s">
        <v>5730</v>
      </c>
      <c t="s">
        <v>5731</v>
      </c>
      <c t="s">
        <v>5124</v>
      </c>
      <c t="s">
        <v>5732</v>
      </c>
    </row>
    <row r="231" spans="1:7" ht="11.25" customHeight="1">
      <c r="A231" s="376" t="s">
        <v>16</v>
      </c>
      <c t="s">
        <v>5722</v>
      </c>
      <c t="s">
        <v>5723</v>
      </c>
      <c t="s">
        <v>5733</v>
      </c>
      <c t="s">
        <v>5734</v>
      </c>
      <c t="s">
        <v>5124</v>
      </c>
      <c t="s">
        <v>5735</v>
      </c>
    </row>
    <row r="232" spans="1:7" ht="11.25" customHeight="1">
      <c r="A232" s="376" t="s">
        <v>16</v>
      </c>
      <c t="s">
        <v>5722</v>
      </c>
      <c t="s">
        <v>5723</v>
      </c>
      <c t="s">
        <v>5736</v>
      </c>
      <c t="s">
        <v>5737</v>
      </c>
      <c t="s">
        <v>5124</v>
      </c>
      <c t="s">
        <v>5738</v>
      </c>
    </row>
    <row r="233" spans="1:7" ht="11.25" customHeight="1">
      <c r="A233" s="376" t="s">
        <v>16</v>
      </c>
      <c t="s">
        <v>5722</v>
      </c>
      <c t="s">
        <v>5723</v>
      </c>
      <c t="s">
        <v>5739</v>
      </c>
      <c t="s">
        <v>5740</v>
      </c>
      <c t="s">
        <v>5124</v>
      </c>
      <c t="s">
        <v>5741</v>
      </c>
    </row>
    <row r="234" spans="1:7" ht="11.25" customHeight="1">
      <c r="A234" s="376" t="s">
        <v>16</v>
      </c>
      <c t="s">
        <v>5722</v>
      </c>
      <c t="s">
        <v>5723</v>
      </c>
      <c t="s">
        <v>5742</v>
      </c>
      <c t="s">
        <v>5743</v>
      </c>
      <c t="s">
        <v>5124</v>
      </c>
      <c t="s">
        <v>5744</v>
      </c>
    </row>
    <row r="235" spans="1:7" ht="11.25" customHeight="1">
      <c r="A235" s="376" t="s">
        <v>16</v>
      </c>
      <c t="s">
        <v>5722</v>
      </c>
      <c t="s">
        <v>5723</v>
      </c>
      <c t="s">
        <v>5745</v>
      </c>
      <c t="s">
        <v>5746</v>
      </c>
      <c t="s">
        <v>5124</v>
      </c>
      <c t="s">
        <v>5747</v>
      </c>
    </row>
    <row r="236" spans="1:7" ht="11.25" customHeight="1">
      <c r="A236" s="376" t="s">
        <v>16</v>
      </c>
      <c t="s">
        <v>5722</v>
      </c>
      <c t="s">
        <v>5723</v>
      </c>
      <c t="s">
        <v>5722</v>
      </c>
      <c t="s">
        <v>5723</v>
      </c>
      <c t="s">
        <v>5115</v>
      </c>
      <c t="s">
        <v>5748</v>
      </c>
    </row>
    <row r="237" spans="1:7" ht="11.25" customHeight="1">
      <c r="A237" s="376" t="s">
        <v>16</v>
      </c>
      <c t="s">
        <v>5722</v>
      </c>
      <c t="s">
        <v>5723</v>
      </c>
      <c t="s">
        <v>5749</v>
      </c>
      <c t="s">
        <v>5750</v>
      </c>
      <c t="s">
        <v>5121</v>
      </c>
      <c t="s">
        <v>5751</v>
      </c>
    </row>
    <row r="238" spans="1:7" ht="11.25" customHeight="1">
      <c r="A238" s="376" t="s">
        <v>16</v>
      </c>
      <c t="s">
        <v>5722</v>
      </c>
      <c t="s">
        <v>5723</v>
      </c>
      <c t="s">
        <v>5752</v>
      </c>
      <c t="s">
        <v>5753</v>
      </c>
      <c t="s">
        <v>5124</v>
      </c>
      <c t="s">
        <v>5754</v>
      </c>
    </row>
    <row r="239" spans="1:7" ht="11.25" customHeight="1">
      <c r="A239" s="376" t="s">
        <v>16</v>
      </c>
      <c t="s">
        <v>5722</v>
      </c>
      <c t="s">
        <v>5723</v>
      </c>
      <c t="s">
        <v>5755</v>
      </c>
      <c t="s">
        <v>5756</v>
      </c>
      <c t="s">
        <v>5121</v>
      </c>
      <c t="s">
        <v>5757</v>
      </c>
    </row>
    <row r="240" spans="1:7" ht="11.25" customHeight="1">
      <c r="A240" s="376" t="s">
        <v>16</v>
      </c>
      <c t="s">
        <v>5722</v>
      </c>
      <c t="s">
        <v>5723</v>
      </c>
      <c t="s">
        <v>5758</v>
      </c>
      <c t="s">
        <v>5759</v>
      </c>
      <c t="s">
        <v>5124</v>
      </c>
      <c t="s">
        <v>5760</v>
      </c>
    </row>
    <row r="241" spans="1:7" ht="11.25" customHeight="1">
      <c r="A241" s="376" t="s">
        <v>16</v>
      </c>
      <c t="s">
        <v>5722</v>
      </c>
      <c t="s">
        <v>5723</v>
      </c>
      <c t="s">
        <v>5761</v>
      </c>
      <c t="s">
        <v>5762</v>
      </c>
      <c t="s">
        <v>5124</v>
      </c>
      <c t="s">
        <v>5763</v>
      </c>
    </row>
    <row r="242" spans="1:7" ht="11.25" customHeight="1">
      <c r="A242" s="376" t="s">
        <v>16</v>
      </c>
      <c t="s">
        <v>5722</v>
      </c>
      <c t="s">
        <v>5723</v>
      </c>
      <c t="s">
        <v>5764</v>
      </c>
      <c t="s">
        <v>5765</v>
      </c>
      <c t="s">
        <v>5124</v>
      </c>
      <c t="s">
        <v>5766</v>
      </c>
    </row>
    <row r="243" spans="1:7" ht="11.25" customHeight="1">
      <c r="A243" s="376" t="s">
        <v>16</v>
      </c>
      <c t="s">
        <v>5767</v>
      </c>
      <c t="s">
        <v>5768</v>
      </c>
      <c t="s">
        <v>5769</v>
      </c>
      <c t="s">
        <v>5770</v>
      </c>
      <c t="s">
        <v>5124</v>
      </c>
      <c t="s">
        <v>5771</v>
      </c>
    </row>
    <row r="244" spans="1:7" ht="11.25" customHeight="1">
      <c r="A244" s="376" t="s">
        <v>16</v>
      </c>
      <c t="s">
        <v>5767</v>
      </c>
      <c t="s">
        <v>5768</v>
      </c>
      <c t="s">
        <v>5772</v>
      </c>
      <c t="s">
        <v>5773</v>
      </c>
      <c t="s">
        <v>5124</v>
      </c>
      <c t="s">
        <v>5774</v>
      </c>
    </row>
    <row r="245" spans="1:7" ht="11.25" customHeight="1">
      <c r="A245" s="376" t="s">
        <v>16</v>
      </c>
      <c t="s">
        <v>5767</v>
      </c>
      <c t="s">
        <v>5768</v>
      </c>
      <c t="s">
        <v>5775</v>
      </c>
      <c t="s">
        <v>5776</v>
      </c>
      <c t="s">
        <v>5124</v>
      </c>
      <c t="s">
        <v>5777</v>
      </c>
    </row>
    <row r="246" spans="1:7" ht="11.25" customHeight="1">
      <c r="A246" s="376" t="s">
        <v>16</v>
      </c>
      <c t="s">
        <v>5767</v>
      </c>
      <c t="s">
        <v>5768</v>
      </c>
      <c t="s">
        <v>5778</v>
      </c>
      <c t="s">
        <v>5779</v>
      </c>
      <c t="s">
        <v>5124</v>
      </c>
      <c t="s">
        <v>5780</v>
      </c>
    </row>
    <row r="247" spans="1:7" ht="11.25" customHeight="1">
      <c r="A247" s="376" t="s">
        <v>16</v>
      </c>
      <c t="s">
        <v>5767</v>
      </c>
      <c t="s">
        <v>5768</v>
      </c>
      <c t="s">
        <v>5767</v>
      </c>
      <c t="s">
        <v>5768</v>
      </c>
      <c t="s">
        <v>5115</v>
      </c>
      <c t="s">
        <v>5781</v>
      </c>
    </row>
    <row r="248" spans="1:7" ht="11.25" customHeight="1">
      <c r="A248" s="376" t="s">
        <v>16</v>
      </c>
      <c t="s">
        <v>5767</v>
      </c>
      <c t="s">
        <v>5768</v>
      </c>
      <c t="s">
        <v>5782</v>
      </c>
      <c t="s">
        <v>5783</v>
      </c>
      <c t="s">
        <v>5118</v>
      </c>
      <c t="s">
        <v>5784</v>
      </c>
    </row>
    <row r="249" spans="1:7" ht="11.25" customHeight="1">
      <c r="A249" s="376" t="s">
        <v>16</v>
      </c>
      <c t="s">
        <v>5767</v>
      </c>
      <c t="s">
        <v>5768</v>
      </c>
      <c t="s">
        <v>5204</v>
      </c>
      <c t="s">
        <v>5785</v>
      </c>
      <c t="s">
        <v>5124</v>
      </c>
      <c t="s">
        <v>5786</v>
      </c>
    </row>
    <row r="250" spans="1:7" ht="11.25" customHeight="1">
      <c r="A250" s="376" t="s">
        <v>16</v>
      </c>
      <c t="s">
        <v>5767</v>
      </c>
      <c t="s">
        <v>5768</v>
      </c>
      <c t="s">
        <v>5787</v>
      </c>
      <c t="s">
        <v>5788</v>
      </c>
      <c t="s">
        <v>5124</v>
      </c>
      <c t="s">
        <v>5789</v>
      </c>
    </row>
    <row r="251" spans="1:7" ht="11.25" customHeight="1">
      <c r="A251" s="376" t="s">
        <v>16</v>
      </c>
      <c t="s">
        <v>5767</v>
      </c>
      <c t="s">
        <v>5768</v>
      </c>
      <c t="s">
        <v>5790</v>
      </c>
      <c t="s">
        <v>5791</v>
      </c>
      <c t="s">
        <v>5124</v>
      </c>
      <c t="s">
        <v>5792</v>
      </c>
    </row>
    <row r="252" spans="1:7" ht="11.25" customHeight="1">
      <c r="A252" s="376" t="s">
        <v>16</v>
      </c>
      <c t="s">
        <v>5767</v>
      </c>
      <c t="s">
        <v>5768</v>
      </c>
      <c t="s">
        <v>5793</v>
      </c>
      <c t="s">
        <v>5794</v>
      </c>
      <c t="s">
        <v>5124</v>
      </c>
      <c t="s">
        <v>5795</v>
      </c>
    </row>
    <row r="253" spans="1:7" ht="11.25" customHeight="1">
      <c r="A253" s="376" t="s">
        <v>16</v>
      </c>
      <c t="s">
        <v>5796</v>
      </c>
      <c t="s">
        <v>5797</v>
      </c>
      <c t="s">
        <v>5798</v>
      </c>
      <c t="s">
        <v>5799</v>
      </c>
      <c t="s">
        <v>5124</v>
      </c>
      <c t="s">
        <v>5800</v>
      </c>
    </row>
    <row r="254" spans="1:7" ht="11.25" customHeight="1">
      <c r="A254" s="376" t="s">
        <v>16</v>
      </c>
      <c t="s">
        <v>5796</v>
      </c>
      <c t="s">
        <v>5797</v>
      </c>
      <c t="s">
        <v>5612</v>
      </c>
      <c t="s">
        <v>5801</v>
      </c>
      <c t="s">
        <v>5124</v>
      </c>
      <c t="s">
        <v>5802</v>
      </c>
    </row>
    <row r="255" spans="1:7" ht="11.25" customHeight="1">
      <c r="A255" s="376" t="s">
        <v>16</v>
      </c>
      <c t="s">
        <v>5796</v>
      </c>
      <c t="s">
        <v>5797</v>
      </c>
      <c t="s">
        <v>5803</v>
      </c>
      <c t="s">
        <v>5804</v>
      </c>
      <c t="s">
        <v>5124</v>
      </c>
      <c t="s">
        <v>5805</v>
      </c>
    </row>
    <row r="256" spans="1:7" ht="11.25" customHeight="1">
      <c r="A256" s="376" t="s">
        <v>16</v>
      </c>
      <c t="s">
        <v>5796</v>
      </c>
      <c t="s">
        <v>5797</v>
      </c>
      <c t="s">
        <v>5141</v>
      </c>
      <c t="s">
        <v>5806</v>
      </c>
      <c t="s">
        <v>5124</v>
      </c>
      <c t="s">
        <v>5807</v>
      </c>
    </row>
    <row r="257" spans="1:7" ht="11.25" customHeight="1">
      <c r="A257" s="376" t="s">
        <v>16</v>
      </c>
      <c t="s">
        <v>5796</v>
      </c>
      <c t="s">
        <v>5797</v>
      </c>
      <c t="s">
        <v>5808</v>
      </c>
      <c t="s">
        <v>5809</v>
      </c>
      <c t="s">
        <v>5124</v>
      </c>
      <c t="s">
        <v>5810</v>
      </c>
    </row>
    <row r="258" spans="1:7" ht="11.25" customHeight="1">
      <c r="A258" s="376" t="s">
        <v>16</v>
      </c>
      <c t="s">
        <v>5796</v>
      </c>
      <c t="s">
        <v>5797</v>
      </c>
      <c t="s">
        <v>5811</v>
      </c>
      <c t="s">
        <v>5812</v>
      </c>
      <c t="s">
        <v>5124</v>
      </c>
      <c t="s">
        <v>5813</v>
      </c>
    </row>
    <row r="259" spans="1:7" ht="11.25" customHeight="1">
      <c r="A259" s="376" t="s">
        <v>16</v>
      </c>
      <c t="s">
        <v>5796</v>
      </c>
      <c t="s">
        <v>5797</v>
      </c>
      <c t="s">
        <v>5796</v>
      </c>
      <c t="s">
        <v>5797</v>
      </c>
      <c t="s">
        <v>5115</v>
      </c>
      <c t="s">
        <v>5814</v>
      </c>
    </row>
    <row r="260" spans="1:7" ht="11.25" customHeight="1">
      <c r="A260" s="376" t="s">
        <v>16</v>
      </c>
      <c t="s">
        <v>5796</v>
      </c>
      <c t="s">
        <v>5797</v>
      </c>
      <c t="s">
        <v>5815</v>
      </c>
      <c t="s">
        <v>5816</v>
      </c>
      <c t="s">
        <v>5124</v>
      </c>
      <c t="s">
        <v>5817</v>
      </c>
    </row>
    <row r="261" spans="1:7" ht="11.25" customHeight="1">
      <c r="A261" s="376" t="s">
        <v>16</v>
      </c>
      <c t="s">
        <v>5796</v>
      </c>
      <c t="s">
        <v>5797</v>
      </c>
      <c t="s">
        <v>5818</v>
      </c>
      <c t="s">
        <v>5819</v>
      </c>
      <c t="s">
        <v>5124</v>
      </c>
      <c t="s">
        <v>5820</v>
      </c>
    </row>
    <row r="262" spans="1:7" ht="11.25" customHeight="1">
      <c r="A262" s="376" t="s">
        <v>16</v>
      </c>
      <c t="s">
        <v>5821</v>
      </c>
      <c t="s">
        <v>5822</v>
      </c>
      <c t="s">
        <v>5823</v>
      </c>
      <c t="s">
        <v>5824</v>
      </c>
      <c t="s">
        <v>5124</v>
      </c>
      <c t="s">
        <v>5825</v>
      </c>
    </row>
    <row r="263" spans="1:7" ht="11.25" customHeight="1">
      <c r="A263" s="376" t="s">
        <v>16</v>
      </c>
      <c t="s">
        <v>5821</v>
      </c>
      <c t="s">
        <v>5822</v>
      </c>
      <c t="s">
        <v>5826</v>
      </c>
      <c t="s">
        <v>5827</v>
      </c>
      <c t="s">
        <v>5124</v>
      </c>
      <c t="s">
        <v>5828</v>
      </c>
    </row>
    <row r="264" spans="1:7" ht="11.25" customHeight="1">
      <c r="A264" s="376" t="s">
        <v>16</v>
      </c>
      <c t="s">
        <v>5821</v>
      </c>
      <c t="s">
        <v>5822</v>
      </c>
      <c t="s">
        <v>5430</v>
      </c>
      <c t="s">
        <v>5829</v>
      </c>
      <c t="s">
        <v>5124</v>
      </c>
      <c t="s">
        <v>5830</v>
      </c>
    </row>
    <row r="265" spans="1:7" ht="11.25" customHeight="1">
      <c r="A265" s="376" t="s">
        <v>16</v>
      </c>
      <c t="s">
        <v>5821</v>
      </c>
      <c t="s">
        <v>5822</v>
      </c>
      <c t="s">
        <v>5831</v>
      </c>
      <c t="s">
        <v>5832</v>
      </c>
      <c t="s">
        <v>5124</v>
      </c>
      <c t="s">
        <v>5833</v>
      </c>
    </row>
    <row r="266" spans="1:7" ht="11.25" customHeight="1">
      <c r="A266" s="376" t="s">
        <v>16</v>
      </c>
      <c t="s">
        <v>5821</v>
      </c>
      <c t="s">
        <v>5822</v>
      </c>
      <c t="s">
        <v>5834</v>
      </c>
      <c t="s">
        <v>5835</v>
      </c>
      <c t="s">
        <v>5124</v>
      </c>
      <c t="s">
        <v>5836</v>
      </c>
    </row>
    <row r="267" spans="1:7" ht="11.25" customHeight="1">
      <c r="A267" s="376" t="s">
        <v>16</v>
      </c>
      <c t="s">
        <v>5821</v>
      </c>
      <c t="s">
        <v>5822</v>
      </c>
      <c t="s">
        <v>5837</v>
      </c>
      <c t="s">
        <v>5838</v>
      </c>
      <c t="s">
        <v>5124</v>
      </c>
      <c t="s">
        <v>5839</v>
      </c>
    </row>
    <row r="268" spans="1:7" ht="11.25" customHeight="1">
      <c r="A268" s="376" t="s">
        <v>16</v>
      </c>
      <c t="s">
        <v>5821</v>
      </c>
      <c t="s">
        <v>5822</v>
      </c>
      <c t="s">
        <v>5821</v>
      </c>
      <c t="s">
        <v>5822</v>
      </c>
      <c t="s">
        <v>5115</v>
      </c>
      <c t="s">
        <v>5840</v>
      </c>
    </row>
    <row r="269" spans="1:7" ht="11.25" customHeight="1">
      <c r="A269" s="376" t="s">
        <v>16</v>
      </c>
      <c t="s">
        <v>5821</v>
      </c>
      <c t="s">
        <v>5822</v>
      </c>
      <c t="s">
        <v>5841</v>
      </c>
      <c t="s">
        <v>5842</v>
      </c>
      <c t="s">
        <v>5124</v>
      </c>
      <c t="s">
        <v>5843</v>
      </c>
    </row>
    <row r="270" spans="1:7" ht="11.25" customHeight="1">
      <c r="A270" s="376" t="s">
        <v>16</v>
      </c>
      <c t="s">
        <v>5821</v>
      </c>
      <c t="s">
        <v>5822</v>
      </c>
      <c t="s">
        <v>5844</v>
      </c>
      <c t="s">
        <v>5845</v>
      </c>
      <c t="s">
        <v>5124</v>
      </c>
      <c t="s">
        <v>5846</v>
      </c>
    </row>
    <row r="271" spans="1:7" ht="11.25" customHeight="1">
      <c r="A271" s="376" t="s">
        <v>16</v>
      </c>
      <c t="s">
        <v>5821</v>
      </c>
      <c t="s">
        <v>5822</v>
      </c>
      <c t="s">
        <v>5847</v>
      </c>
      <c t="s">
        <v>5848</v>
      </c>
      <c t="s">
        <v>5124</v>
      </c>
      <c t="s">
        <v>5849</v>
      </c>
    </row>
    <row r="272" spans="1:7" ht="11.25" customHeight="1">
      <c r="A272" s="376" t="s">
        <v>16</v>
      </c>
      <c t="s">
        <v>5821</v>
      </c>
      <c t="s">
        <v>5822</v>
      </c>
      <c t="s">
        <v>5850</v>
      </c>
      <c t="s">
        <v>5851</v>
      </c>
      <c t="s">
        <v>5124</v>
      </c>
      <c t="s">
        <v>5852</v>
      </c>
    </row>
    <row r="273" spans="1:7" ht="11.25" customHeight="1">
      <c r="A273" s="376" t="s">
        <v>16</v>
      </c>
      <c t="s">
        <v>5821</v>
      </c>
      <c t="s">
        <v>5822</v>
      </c>
      <c t="s">
        <v>5853</v>
      </c>
      <c t="s">
        <v>5854</v>
      </c>
      <c t="s">
        <v>5124</v>
      </c>
      <c t="s">
        <v>5855</v>
      </c>
    </row>
    <row r="274" spans="1:7" ht="11.25" customHeight="1">
      <c r="A274" s="376" t="s">
        <v>16</v>
      </c>
      <c t="s">
        <v>5821</v>
      </c>
      <c t="s">
        <v>5822</v>
      </c>
      <c t="s">
        <v>5856</v>
      </c>
      <c t="s">
        <v>5857</v>
      </c>
      <c t="s">
        <v>5124</v>
      </c>
      <c t="s">
        <v>5858</v>
      </c>
    </row>
    <row r="275" spans="1:7" ht="11.25" customHeight="1">
      <c r="A275" s="376" t="s">
        <v>16</v>
      </c>
      <c t="s">
        <v>5821</v>
      </c>
      <c t="s">
        <v>5822</v>
      </c>
      <c t="s">
        <v>5859</v>
      </c>
      <c t="s">
        <v>5860</v>
      </c>
      <c t="s">
        <v>5124</v>
      </c>
      <c t="s">
        <v>5861</v>
      </c>
    </row>
    <row r="276" spans="1:7" ht="11.25" customHeight="1">
      <c r="A276" s="376" t="s">
        <v>16</v>
      </c>
      <c t="s">
        <v>5821</v>
      </c>
      <c t="s">
        <v>5822</v>
      </c>
      <c t="s">
        <v>5862</v>
      </c>
      <c t="s">
        <v>5863</v>
      </c>
      <c t="s">
        <v>5124</v>
      </c>
      <c t="s">
        <v>5864</v>
      </c>
    </row>
    <row r="277" spans="1:7" ht="11.25" customHeight="1">
      <c r="A277" s="376" t="s">
        <v>16</v>
      </c>
      <c t="s">
        <v>5865</v>
      </c>
      <c t="s">
        <v>5866</v>
      </c>
      <c t="s">
        <v>5867</v>
      </c>
      <c t="s">
        <v>5868</v>
      </c>
      <c t="s">
        <v>5124</v>
      </c>
      <c t="s">
        <v>5869</v>
      </c>
    </row>
    <row r="278" spans="1:7" ht="11.25" customHeight="1">
      <c r="A278" s="376" t="s">
        <v>16</v>
      </c>
      <c t="s">
        <v>5865</v>
      </c>
      <c t="s">
        <v>5866</v>
      </c>
      <c t="s">
        <v>5870</v>
      </c>
      <c t="s">
        <v>5871</v>
      </c>
      <c t="s">
        <v>5124</v>
      </c>
      <c t="s">
        <v>5872</v>
      </c>
    </row>
    <row r="279" spans="1:7" ht="11.25" customHeight="1">
      <c r="A279" s="376" t="s">
        <v>16</v>
      </c>
      <c t="s">
        <v>5865</v>
      </c>
      <c t="s">
        <v>5866</v>
      </c>
      <c t="s">
        <v>5808</v>
      </c>
      <c t="s">
        <v>5873</v>
      </c>
      <c t="s">
        <v>5124</v>
      </c>
      <c t="s">
        <v>5874</v>
      </c>
    </row>
    <row r="280" spans="1:7" ht="11.25" customHeight="1">
      <c r="A280" s="376" t="s">
        <v>16</v>
      </c>
      <c t="s">
        <v>5865</v>
      </c>
      <c t="s">
        <v>5866</v>
      </c>
      <c t="s">
        <v>5875</v>
      </c>
      <c t="s">
        <v>5876</v>
      </c>
      <c t="s">
        <v>5124</v>
      </c>
      <c t="s">
        <v>5877</v>
      </c>
    </row>
    <row r="281" spans="1:7" ht="11.25" customHeight="1">
      <c r="A281" s="376" t="s">
        <v>16</v>
      </c>
      <c t="s">
        <v>5865</v>
      </c>
      <c t="s">
        <v>5866</v>
      </c>
      <c t="s">
        <v>5878</v>
      </c>
      <c t="s">
        <v>5879</v>
      </c>
      <c t="s">
        <v>5124</v>
      </c>
      <c t="s">
        <v>5880</v>
      </c>
    </row>
    <row r="282" spans="1:7" ht="11.25" customHeight="1">
      <c r="A282" s="376" t="s">
        <v>16</v>
      </c>
      <c t="s">
        <v>5865</v>
      </c>
      <c t="s">
        <v>5866</v>
      </c>
      <c t="s">
        <v>5881</v>
      </c>
      <c t="s">
        <v>5882</v>
      </c>
      <c t="s">
        <v>5124</v>
      </c>
      <c t="s">
        <v>5883</v>
      </c>
    </row>
    <row r="283" spans="1:7" ht="11.25" customHeight="1">
      <c r="A283" s="376" t="s">
        <v>16</v>
      </c>
      <c t="s">
        <v>5865</v>
      </c>
      <c t="s">
        <v>5866</v>
      </c>
      <c t="s">
        <v>5865</v>
      </c>
      <c t="s">
        <v>5866</v>
      </c>
      <c t="s">
        <v>5115</v>
      </c>
      <c t="s">
        <v>5884</v>
      </c>
    </row>
    <row r="284" spans="1:7" ht="11.25" customHeight="1">
      <c r="A284" s="376" t="s">
        <v>16</v>
      </c>
      <c t="s">
        <v>5865</v>
      </c>
      <c t="s">
        <v>5866</v>
      </c>
      <c t="s">
        <v>5885</v>
      </c>
      <c t="s">
        <v>5886</v>
      </c>
      <c t="s">
        <v>5124</v>
      </c>
      <c t="s">
        <v>5887</v>
      </c>
    </row>
    <row r="285" spans="1:7" ht="11.25" customHeight="1">
      <c r="A285" s="376" t="s">
        <v>16</v>
      </c>
      <c t="s">
        <v>5865</v>
      </c>
      <c t="s">
        <v>5866</v>
      </c>
      <c t="s">
        <v>5888</v>
      </c>
      <c t="s">
        <v>5889</v>
      </c>
      <c t="s">
        <v>5124</v>
      </c>
      <c t="s">
        <v>5890</v>
      </c>
    </row>
    <row r="286" spans="1:7" ht="11.25" customHeight="1">
      <c r="A286" s="376" t="s">
        <v>16</v>
      </c>
      <c t="s">
        <v>5865</v>
      </c>
      <c t="s">
        <v>5866</v>
      </c>
      <c t="s">
        <v>5891</v>
      </c>
      <c t="s">
        <v>5892</v>
      </c>
      <c t="s">
        <v>5124</v>
      </c>
      <c t="s">
        <v>5893</v>
      </c>
    </row>
    <row r="287" spans="1:7" ht="11.25" customHeight="1">
      <c r="A287" s="376" t="s">
        <v>16</v>
      </c>
      <c t="s">
        <v>5865</v>
      </c>
      <c t="s">
        <v>5866</v>
      </c>
      <c t="s">
        <v>5894</v>
      </c>
      <c t="s">
        <v>5895</v>
      </c>
      <c t="s">
        <v>5124</v>
      </c>
      <c t="s">
        <v>5896</v>
      </c>
    </row>
    <row r="288" spans="1:7" ht="11.25" customHeight="1">
      <c r="A288" s="376" t="s">
        <v>16</v>
      </c>
      <c t="s">
        <v>5865</v>
      </c>
      <c t="s">
        <v>5866</v>
      </c>
      <c t="s">
        <v>5676</v>
      </c>
      <c t="s">
        <v>5897</v>
      </c>
      <c t="s">
        <v>5124</v>
      </c>
      <c t="s">
        <v>5898</v>
      </c>
    </row>
    <row r="289" spans="1:7" ht="11.25" customHeight="1">
      <c r="A289" s="376" t="s">
        <v>16</v>
      </c>
      <c t="s">
        <v>5899</v>
      </c>
      <c t="s">
        <v>5900</v>
      </c>
      <c t="s">
        <v>5901</v>
      </c>
      <c t="s">
        <v>5902</v>
      </c>
      <c t="s">
        <v>5124</v>
      </c>
      <c t="s">
        <v>5903</v>
      </c>
    </row>
    <row r="290" spans="1:7" ht="11.25" customHeight="1">
      <c r="A290" s="376" t="s">
        <v>16</v>
      </c>
      <c t="s">
        <v>5899</v>
      </c>
      <c t="s">
        <v>5900</v>
      </c>
      <c t="s">
        <v>5904</v>
      </c>
      <c t="s">
        <v>5905</v>
      </c>
      <c t="s">
        <v>5124</v>
      </c>
      <c t="s">
        <v>5906</v>
      </c>
    </row>
    <row r="291" spans="1:7" ht="11.25" customHeight="1">
      <c r="A291" s="376" t="s">
        <v>16</v>
      </c>
      <c t="s">
        <v>5899</v>
      </c>
      <c t="s">
        <v>5900</v>
      </c>
      <c t="s">
        <v>5907</v>
      </c>
      <c t="s">
        <v>5908</v>
      </c>
      <c t="s">
        <v>5124</v>
      </c>
      <c t="s">
        <v>5909</v>
      </c>
    </row>
    <row r="292" spans="1:7" ht="11.25" customHeight="1">
      <c r="A292" s="376" t="s">
        <v>16</v>
      </c>
      <c t="s">
        <v>5899</v>
      </c>
      <c t="s">
        <v>5900</v>
      </c>
      <c t="s">
        <v>5815</v>
      </c>
      <c t="s">
        <v>5910</v>
      </c>
      <c t="s">
        <v>5124</v>
      </c>
      <c t="s">
        <v>5911</v>
      </c>
    </row>
    <row r="293" spans="1:7" ht="11.25" customHeight="1">
      <c r="A293" s="376" t="s">
        <v>16</v>
      </c>
      <c t="s">
        <v>5899</v>
      </c>
      <c t="s">
        <v>5900</v>
      </c>
      <c t="s">
        <v>5127</v>
      </c>
      <c t="s">
        <v>5912</v>
      </c>
      <c t="s">
        <v>5124</v>
      </c>
      <c t="s">
        <v>5913</v>
      </c>
    </row>
    <row r="294" spans="1:7" ht="11.25" customHeight="1">
      <c r="A294" s="376" t="s">
        <v>16</v>
      </c>
      <c t="s">
        <v>5899</v>
      </c>
      <c t="s">
        <v>5900</v>
      </c>
      <c t="s">
        <v>5914</v>
      </c>
      <c t="s">
        <v>5915</v>
      </c>
      <c t="s">
        <v>5124</v>
      </c>
      <c t="s">
        <v>5916</v>
      </c>
    </row>
    <row r="295" spans="1:7" ht="11.25" customHeight="1">
      <c r="A295" s="376" t="s">
        <v>16</v>
      </c>
      <c t="s">
        <v>5899</v>
      </c>
      <c t="s">
        <v>5900</v>
      </c>
      <c t="s">
        <v>5899</v>
      </c>
      <c t="s">
        <v>5900</v>
      </c>
      <c t="s">
        <v>5115</v>
      </c>
      <c t="s">
        <v>5917</v>
      </c>
    </row>
    <row r="296" spans="1:7" ht="11.25" customHeight="1">
      <c r="A296" s="376" t="s">
        <v>16</v>
      </c>
      <c t="s">
        <v>5899</v>
      </c>
      <c t="s">
        <v>5900</v>
      </c>
      <c t="s">
        <v>5918</v>
      </c>
      <c t="s">
        <v>5919</v>
      </c>
      <c t="s">
        <v>5118</v>
      </c>
      <c t="s">
        <v>5920</v>
      </c>
    </row>
    <row r="297" spans="1:7" ht="11.25" customHeight="1">
      <c r="A297" s="376" t="s">
        <v>16</v>
      </c>
      <c t="s">
        <v>5899</v>
      </c>
      <c t="s">
        <v>5900</v>
      </c>
      <c t="s">
        <v>5921</v>
      </c>
      <c t="s">
        <v>5922</v>
      </c>
      <c t="s">
        <v>5124</v>
      </c>
      <c t="s">
        <v>5923</v>
      </c>
    </row>
    <row r="298" spans="1:7" ht="11.25" customHeight="1">
      <c r="A298" s="376" t="s">
        <v>16</v>
      </c>
      <c t="s">
        <v>5899</v>
      </c>
      <c t="s">
        <v>5900</v>
      </c>
      <c t="s">
        <v>5924</v>
      </c>
      <c t="s">
        <v>5925</v>
      </c>
      <c t="s">
        <v>5124</v>
      </c>
      <c t="s">
        <v>5926</v>
      </c>
    </row>
    <row r="299" spans="1:7" ht="11.25" customHeight="1">
      <c r="A299" s="376" t="s">
        <v>16</v>
      </c>
      <c t="s">
        <v>5927</v>
      </c>
      <c t="s">
        <v>5928</v>
      </c>
      <c t="s">
        <v>5929</v>
      </c>
      <c t="s">
        <v>5930</v>
      </c>
      <c t="s">
        <v>5124</v>
      </c>
      <c t="s">
        <v>5931</v>
      </c>
    </row>
    <row r="300" spans="1:7" ht="11.25" customHeight="1">
      <c r="A300" s="376" t="s">
        <v>16</v>
      </c>
      <c t="s">
        <v>5927</v>
      </c>
      <c t="s">
        <v>5928</v>
      </c>
      <c t="s">
        <v>5932</v>
      </c>
      <c t="s">
        <v>5933</v>
      </c>
      <c t="s">
        <v>5121</v>
      </c>
      <c t="s">
        <v>5934</v>
      </c>
    </row>
    <row r="301" spans="1:7" ht="11.25" customHeight="1">
      <c r="A301" s="376" t="s">
        <v>16</v>
      </c>
      <c t="s">
        <v>5927</v>
      </c>
      <c t="s">
        <v>5928</v>
      </c>
      <c t="s">
        <v>5935</v>
      </c>
      <c t="s">
        <v>5936</v>
      </c>
      <c t="s">
        <v>5124</v>
      </c>
      <c t="s">
        <v>5937</v>
      </c>
    </row>
    <row r="302" spans="1:7" ht="11.25" customHeight="1">
      <c r="A302" s="376" t="s">
        <v>16</v>
      </c>
      <c t="s">
        <v>5927</v>
      </c>
      <c t="s">
        <v>5928</v>
      </c>
      <c t="s">
        <v>5938</v>
      </c>
      <c t="s">
        <v>5939</v>
      </c>
      <c t="s">
        <v>5121</v>
      </c>
      <c t="s">
        <v>5940</v>
      </c>
    </row>
    <row r="303" spans="1:7" ht="11.25" customHeight="1">
      <c r="A303" s="376" t="s">
        <v>16</v>
      </c>
      <c t="s">
        <v>5927</v>
      </c>
      <c t="s">
        <v>5928</v>
      </c>
      <c t="s">
        <v>5941</v>
      </c>
      <c t="s">
        <v>5942</v>
      </c>
      <c t="s">
        <v>5124</v>
      </c>
      <c t="s">
        <v>5943</v>
      </c>
    </row>
    <row r="304" spans="1:7" ht="11.25" customHeight="1">
      <c r="A304" s="376" t="s">
        <v>16</v>
      </c>
      <c t="s">
        <v>5927</v>
      </c>
      <c t="s">
        <v>5928</v>
      </c>
      <c t="s">
        <v>5944</v>
      </c>
      <c t="s">
        <v>5945</v>
      </c>
      <c t="s">
        <v>5124</v>
      </c>
      <c t="s">
        <v>5946</v>
      </c>
    </row>
    <row r="305" spans="1:7" ht="11.25" customHeight="1">
      <c r="A305" s="376" t="s">
        <v>16</v>
      </c>
      <c t="s">
        <v>5927</v>
      </c>
      <c t="s">
        <v>5928</v>
      </c>
      <c t="s">
        <v>5591</v>
      </c>
      <c t="s">
        <v>5947</v>
      </c>
      <c t="s">
        <v>5124</v>
      </c>
      <c t="s">
        <v>5948</v>
      </c>
    </row>
    <row r="306" spans="1:7" ht="11.25" customHeight="1">
      <c r="A306" s="376" t="s">
        <v>16</v>
      </c>
      <c t="s">
        <v>5927</v>
      </c>
      <c t="s">
        <v>5928</v>
      </c>
      <c t="s">
        <v>5949</v>
      </c>
      <c t="s">
        <v>5950</v>
      </c>
      <c t="s">
        <v>5124</v>
      </c>
      <c t="s">
        <v>5951</v>
      </c>
    </row>
    <row r="307" spans="1:7" ht="11.25" customHeight="1">
      <c r="A307" s="376" t="s">
        <v>16</v>
      </c>
      <c t="s">
        <v>5927</v>
      </c>
      <c t="s">
        <v>5928</v>
      </c>
      <c t="s">
        <v>5927</v>
      </c>
      <c t="s">
        <v>5928</v>
      </c>
      <c t="s">
        <v>5115</v>
      </c>
      <c t="s">
        <v>5952</v>
      </c>
    </row>
    <row r="308" spans="1:7" ht="11.25" customHeight="1">
      <c r="A308" s="376" t="s">
        <v>16</v>
      </c>
      <c t="s">
        <v>5927</v>
      </c>
      <c t="s">
        <v>5928</v>
      </c>
      <c t="s">
        <v>5953</v>
      </c>
      <c t="s">
        <v>5954</v>
      </c>
      <c t="s">
        <v>5124</v>
      </c>
      <c t="s">
        <v>5955</v>
      </c>
    </row>
    <row r="309" spans="1:7" ht="11.25" customHeight="1">
      <c r="A309" s="376" t="s">
        <v>16</v>
      </c>
      <c t="s">
        <v>5927</v>
      </c>
      <c t="s">
        <v>5928</v>
      </c>
      <c t="s">
        <v>5956</v>
      </c>
      <c t="s">
        <v>5957</v>
      </c>
      <c t="s">
        <v>5124</v>
      </c>
      <c t="s">
        <v>5958</v>
      </c>
    </row>
    <row r="310" spans="1:7" ht="11.25" customHeight="1">
      <c r="A310" s="376" t="s">
        <v>16</v>
      </c>
      <c t="s">
        <v>5927</v>
      </c>
      <c t="s">
        <v>5928</v>
      </c>
      <c t="s">
        <v>5959</v>
      </c>
      <c t="s">
        <v>5960</v>
      </c>
      <c t="s">
        <v>5121</v>
      </c>
      <c t="s">
        <v>5961</v>
      </c>
    </row>
    <row r="311" spans="1:7" ht="11.25" customHeight="1">
      <c r="A311" s="376" t="s">
        <v>16</v>
      </c>
      <c t="s">
        <v>5927</v>
      </c>
      <c t="s">
        <v>5928</v>
      </c>
      <c t="s">
        <v>5962</v>
      </c>
      <c t="s">
        <v>5963</v>
      </c>
      <c t="s">
        <v>5124</v>
      </c>
      <c t="s">
        <v>5964</v>
      </c>
    </row>
    <row r="312" spans="1:7" ht="11.25" customHeight="1">
      <c r="A312" s="376" t="s">
        <v>16</v>
      </c>
      <c t="s">
        <v>5965</v>
      </c>
      <c t="s">
        <v>5966</v>
      </c>
      <c t="s">
        <v>5965</v>
      </c>
      <c t="s">
        <v>5966</v>
      </c>
      <c t="s">
        <v>5236</v>
      </c>
      <c t="s">
        <v>5967</v>
      </c>
    </row>
    <row r="313" spans="1:7" ht="11.25" customHeight="1">
      <c r="A313" s="376" t="s">
        <v>16</v>
      </c>
      <c t="s">
        <v>5968</v>
      </c>
      <c t="s">
        <v>5969</v>
      </c>
      <c t="s">
        <v>5970</v>
      </c>
      <c t="s">
        <v>5971</v>
      </c>
      <c t="s">
        <v>5124</v>
      </c>
      <c t="s">
        <v>5972</v>
      </c>
    </row>
    <row r="314" spans="1:7" ht="11.25" customHeight="1">
      <c r="A314" s="376" t="s">
        <v>16</v>
      </c>
      <c t="s">
        <v>5968</v>
      </c>
      <c t="s">
        <v>5969</v>
      </c>
      <c t="s">
        <v>5973</v>
      </c>
      <c t="s">
        <v>5974</v>
      </c>
      <c t="s">
        <v>5124</v>
      </c>
      <c t="s">
        <v>5975</v>
      </c>
    </row>
    <row r="315" spans="1:7" ht="11.25" customHeight="1">
      <c r="A315" s="376" t="s">
        <v>16</v>
      </c>
      <c t="s">
        <v>5968</v>
      </c>
      <c t="s">
        <v>5969</v>
      </c>
      <c t="s">
        <v>5976</v>
      </c>
      <c t="s">
        <v>5977</v>
      </c>
      <c t="s">
        <v>5124</v>
      </c>
      <c t="s">
        <v>5978</v>
      </c>
    </row>
    <row r="316" spans="1:7" ht="11.25" customHeight="1">
      <c r="A316" s="376" t="s">
        <v>16</v>
      </c>
      <c t="s">
        <v>5968</v>
      </c>
      <c t="s">
        <v>5969</v>
      </c>
      <c t="s">
        <v>5979</v>
      </c>
      <c t="s">
        <v>5980</v>
      </c>
      <c t="s">
        <v>5124</v>
      </c>
      <c t="s">
        <v>5981</v>
      </c>
    </row>
    <row r="317" spans="1:7" ht="11.25" customHeight="1">
      <c r="A317" s="376" t="s">
        <v>16</v>
      </c>
      <c t="s">
        <v>5968</v>
      </c>
      <c t="s">
        <v>5969</v>
      </c>
      <c t="s">
        <v>5982</v>
      </c>
      <c t="s">
        <v>5983</v>
      </c>
      <c t="s">
        <v>5124</v>
      </c>
      <c t="s">
        <v>5984</v>
      </c>
    </row>
    <row r="318" spans="1:7" ht="11.25" customHeight="1">
      <c r="A318" s="376" t="s">
        <v>16</v>
      </c>
      <c t="s">
        <v>5968</v>
      </c>
      <c t="s">
        <v>5969</v>
      </c>
      <c t="s">
        <v>5985</v>
      </c>
      <c t="s">
        <v>5986</v>
      </c>
      <c t="s">
        <v>5124</v>
      </c>
      <c t="s">
        <v>5987</v>
      </c>
    </row>
    <row r="319" spans="1:7" ht="11.25" customHeight="1">
      <c r="A319" s="376" t="s">
        <v>16</v>
      </c>
      <c t="s">
        <v>5968</v>
      </c>
      <c t="s">
        <v>5969</v>
      </c>
      <c t="s">
        <v>5988</v>
      </c>
      <c t="s">
        <v>5989</v>
      </c>
      <c t="s">
        <v>5124</v>
      </c>
      <c t="s">
        <v>5990</v>
      </c>
    </row>
    <row r="320" spans="1:7" ht="11.25" customHeight="1">
      <c r="A320" s="376" t="s">
        <v>16</v>
      </c>
      <c t="s">
        <v>5968</v>
      </c>
      <c t="s">
        <v>5969</v>
      </c>
      <c t="s">
        <v>5991</v>
      </c>
      <c t="s">
        <v>5992</v>
      </c>
      <c t="s">
        <v>5124</v>
      </c>
      <c t="s">
        <v>5993</v>
      </c>
    </row>
    <row r="321" spans="1:7" ht="11.25" customHeight="1">
      <c r="A321" s="376" t="s">
        <v>16</v>
      </c>
      <c t="s">
        <v>5968</v>
      </c>
      <c t="s">
        <v>5969</v>
      </c>
      <c t="s">
        <v>5994</v>
      </c>
      <c t="s">
        <v>5995</v>
      </c>
      <c t="s">
        <v>5124</v>
      </c>
      <c t="s">
        <v>5996</v>
      </c>
    </row>
    <row r="322" spans="1:7" ht="11.25" customHeight="1">
      <c r="A322" s="376" t="s">
        <v>16</v>
      </c>
      <c t="s">
        <v>5968</v>
      </c>
      <c t="s">
        <v>5969</v>
      </c>
      <c t="s">
        <v>5787</v>
      </c>
      <c t="s">
        <v>5997</v>
      </c>
      <c t="s">
        <v>5124</v>
      </c>
      <c t="s">
        <v>5998</v>
      </c>
    </row>
    <row r="323" spans="1:7" ht="11.25" customHeight="1">
      <c r="A323" s="376" t="s">
        <v>16</v>
      </c>
      <c t="s">
        <v>5968</v>
      </c>
      <c t="s">
        <v>5969</v>
      </c>
      <c t="s">
        <v>5999</v>
      </c>
      <c t="s">
        <v>6000</v>
      </c>
      <c t="s">
        <v>5124</v>
      </c>
      <c t="s">
        <v>6001</v>
      </c>
    </row>
    <row r="324" spans="1:7" ht="11.25" customHeight="1">
      <c r="A324" s="376" t="s">
        <v>16</v>
      </c>
      <c t="s">
        <v>5968</v>
      </c>
      <c t="s">
        <v>5969</v>
      </c>
      <c t="s">
        <v>6002</v>
      </c>
      <c t="s">
        <v>6003</v>
      </c>
      <c t="s">
        <v>5124</v>
      </c>
      <c t="s">
        <v>6004</v>
      </c>
    </row>
    <row r="325" spans="1:7" ht="11.25" customHeight="1">
      <c r="A325" s="376" t="s">
        <v>16</v>
      </c>
      <c t="s">
        <v>5968</v>
      </c>
      <c t="s">
        <v>5969</v>
      </c>
      <c t="s">
        <v>5968</v>
      </c>
      <c t="s">
        <v>5969</v>
      </c>
      <c t="s">
        <v>5115</v>
      </c>
      <c t="s">
        <v>6005</v>
      </c>
    </row>
    <row r="326" spans="1:7" ht="11.25" customHeight="1">
      <c r="A326" s="376" t="s">
        <v>16</v>
      </c>
      <c t="s">
        <v>5968</v>
      </c>
      <c t="s">
        <v>5969</v>
      </c>
      <c t="s">
        <v>6006</v>
      </c>
      <c t="s">
        <v>6007</v>
      </c>
      <c t="s">
        <v>5118</v>
      </c>
      <c t="s">
        <v>6008</v>
      </c>
    </row>
    <row r="327" spans="1:7" ht="11.25" customHeight="1">
      <c r="A327" s="376" t="s">
        <v>16</v>
      </c>
      <c t="s">
        <v>5968</v>
      </c>
      <c t="s">
        <v>5969</v>
      </c>
      <c t="s">
        <v>6009</v>
      </c>
      <c t="s">
        <v>6010</v>
      </c>
      <c t="s">
        <v>5124</v>
      </c>
      <c t="s">
        <v>6011</v>
      </c>
    </row>
    <row r="328" spans="1:7" ht="11.25" customHeight="1">
      <c r="A328" s="376" t="s">
        <v>16</v>
      </c>
      <c t="s">
        <v>5968</v>
      </c>
      <c t="s">
        <v>5969</v>
      </c>
      <c t="s">
        <v>6012</v>
      </c>
      <c t="s">
        <v>6013</v>
      </c>
      <c t="s">
        <v>5124</v>
      </c>
      <c t="s">
        <v>6014</v>
      </c>
    </row>
    <row r="329" spans="1:7" ht="11.25" customHeight="1">
      <c r="A329" s="376" t="s">
        <v>16</v>
      </c>
      <c t="s">
        <v>6015</v>
      </c>
      <c t="s">
        <v>6016</v>
      </c>
      <c t="s">
        <v>6017</v>
      </c>
      <c t="s">
        <v>6018</v>
      </c>
      <c t="s">
        <v>5124</v>
      </c>
      <c t="s">
        <v>6019</v>
      </c>
    </row>
    <row r="330" spans="1:7" ht="11.25" customHeight="1">
      <c r="A330" s="376" t="s">
        <v>16</v>
      </c>
      <c t="s">
        <v>6015</v>
      </c>
      <c t="s">
        <v>6016</v>
      </c>
      <c t="s">
        <v>5415</v>
      </c>
      <c t="s">
        <v>6020</v>
      </c>
      <c t="s">
        <v>5124</v>
      </c>
      <c t="s">
        <v>6021</v>
      </c>
    </row>
    <row r="331" spans="1:7" ht="11.25" customHeight="1">
      <c r="A331" s="376" t="s">
        <v>16</v>
      </c>
      <c t="s">
        <v>6015</v>
      </c>
      <c t="s">
        <v>6016</v>
      </c>
      <c t="s">
        <v>6022</v>
      </c>
      <c t="s">
        <v>6023</v>
      </c>
      <c t="s">
        <v>5124</v>
      </c>
      <c t="s">
        <v>6024</v>
      </c>
    </row>
    <row r="332" spans="1:7" ht="11.25" customHeight="1">
      <c r="A332" s="376" t="s">
        <v>16</v>
      </c>
      <c t="s">
        <v>6015</v>
      </c>
      <c t="s">
        <v>6016</v>
      </c>
      <c t="s">
        <v>6025</v>
      </c>
      <c t="s">
        <v>6026</v>
      </c>
      <c t="s">
        <v>5124</v>
      </c>
      <c t="s">
        <v>6027</v>
      </c>
    </row>
    <row r="333" spans="1:7" ht="11.25" customHeight="1">
      <c r="A333" s="376" t="s">
        <v>16</v>
      </c>
      <c t="s">
        <v>6015</v>
      </c>
      <c t="s">
        <v>6016</v>
      </c>
      <c t="s">
        <v>6015</v>
      </c>
      <c t="s">
        <v>6016</v>
      </c>
      <c t="s">
        <v>5115</v>
      </c>
      <c t="s">
        <v>6028</v>
      </c>
    </row>
    <row r="334" spans="1:7" ht="11.25" customHeight="1">
      <c r="A334" s="376" t="s">
        <v>16</v>
      </c>
      <c t="s">
        <v>6015</v>
      </c>
      <c t="s">
        <v>6016</v>
      </c>
      <c t="s">
        <v>6029</v>
      </c>
      <c t="s">
        <v>6030</v>
      </c>
      <c t="s">
        <v>5124</v>
      </c>
      <c t="s">
        <v>6031</v>
      </c>
    </row>
    <row r="335" spans="1:7" ht="11.25" customHeight="1">
      <c r="A335" s="376" t="s">
        <v>16</v>
      </c>
      <c t="s">
        <v>6032</v>
      </c>
      <c t="s">
        <v>6033</v>
      </c>
      <c t="s">
        <v>6034</v>
      </c>
      <c t="s">
        <v>6035</v>
      </c>
      <c t="s">
        <v>5124</v>
      </c>
      <c t="s">
        <v>6036</v>
      </c>
    </row>
    <row r="336" spans="1:7" ht="11.25" customHeight="1">
      <c r="A336" s="376" t="s">
        <v>16</v>
      </c>
      <c t="s">
        <v>6032</v>
      </c>
      <c t="s">
        <v>6033</v>
      </c>
      <c t="s">
        <v>6037</v>
      </c>
      <c t="s">
        <v>6038</v>
      </c>
      <c t="s">
        <v>5124</v>
      </c>
      <c t="s">
        <v>6039</v>
      </c>
    </row>
    <row r="337" spans="1:7" ht="11.25" customHeight="1">
      <c r="A337" s="376" t="s">
        <v>16</v>
      </c>
      <c t="s">
        <v>6032</v>
      </c>
      <c t="s">
        <v>6033</v>
      </c>
      <c t="s">
        <v>6040</v>
      </c>
      <c t="s">
        <v>6041</v>
      </c>
      <c t="s">
        <v>5124</v>
      </c>
      <c t="s">
        <v>6042</v>
      </c>
    </row>
    <row r="338" spans="1:7" ht="11.25" customHeight="1">
      <c r="A338" s="376" t="s">
        <v>16</v>
      </c>
      <c t="s">
        <v>6032</v>
      </c>
      <c t="s">
        <v>6033</v>
      </c>
      <c t="s">
        <v>6043</v>
      </c>
      <c t="s">
        <v>6044</v>
      </c>
      <c t="s">
        <v>5124</v>
      </c>
      <c t="s">
        <v>6045</v>
      </c>
    </row>
    <row r="339" spans="1:7" ht="11.25" customHeight="1">
      <c r="A339" s="376" t="s">
        <v>16</v>
      </c>
      <c t="s">
        <v>6032</v>
      </c>
      <c t="s">
        <v>6033</v>
      </c>
      <c t="s">
        <v>6046</v>
      </c>
      <c t="s">
        <v>6047</v>
      </c>
      <c t="s">
        <v>5124</v>
      </c>
      <c t="s">
        <v>6048</v>
      </c>
    </row>
    <row r="340" spans="1:7" ht="11.25" customHeight="1">
      <c r="A340" s="376" t="s">
        <v>16</v>
      </c>
      <c t="s">
        <v>6032</v>
      </c>
      <c t="s">
        <v>6033</v>
      </c>
      <c t="s">
        <v>6049</v>
      </c>
      <c t="s">
        <v>6050</v>
      </c>
      <c t="s">
        <v>5124</v>
      </c>
      <c t="s">
        <v>6051</v>
      </c>
    </row>
    <row r="341" spans="1:7" ht="11.25" customHeight="1">
      <c r="A341" s="376" t="s">
        <v>16</v>
      </c>
      <c t="s">
        <v>6032</v>
      </c>
      <c t="s">
        <v>6033</v>
      </c>
      <c t="s">
        <v>6052</v>
      </c>
      <c t="s">
        <v>6053</v>
      </c>
      <c t="s">
        <v>5124</v>
      </c>
      <c t="s">
        <v>6054</v>
      </c>
    </row>
    <row r="342" spans="1:7" ht="11.25" customHeight="1">
      <c r="A342" s="376" t="s">
        <v>16</v>
      </c>
      <c t="s">
        <v>6032</v>
      </c>
      <c t="s">
        <v>6033</v>
      </c>
      <c t="s">
        <v>6032</v>
      </c>
      <c t="s">
        <v>6033</v>
      </c>
      <c t="s">
        <v>5115</v>
      </c>
      <c t="s">
        <v>6055</v>
      </c>
    </row>
    <row r="343" spans="1:7" ht="11.25" customHeight="1">
      <c r="A343" s="376" t="s">
        <v>16</v>
      </c>
      <c t="s">
        <v>6032</v>
      </c>
      <c t="s">
        <v>6033</v>
      </c>
      <c t="s">
        <v>6056</v>
      </c>
      <c t="s">
        <v>6057</v>
      </c>
      <c t="s">
        <v>5124</v>
      </c>
      <c t="s">
        <v>6058</v>
      </c>
    </row>
    <row r="344" spans="1:7" ht="11.25" customHeight="1">
      <c r="A344" s="376" t="s">
        <v>16</v>
      </c>
      <c t="s">
        <v>6059</v>
      </c>
      <c t="s">
        <v>6060</v>
      </c>
      <c t="s">
        <v>6061</v>
      </c>
      <c t="s">
        <v>6062</v>
      </c>
      <c t="s">
        <v>5124</v>
      </c>
      <c t="s">
        <v>6063</v>
      </c>
    </row>
    <row r="345" spans="1:7" ht="11.25" customHeight="1">
      <c r="A345" s="376" t="s">
        <v>16</v>
      </c>
      <c t="s">
        <v>6059</v>
      </c>
      <c t="s">
        <v>6060</v>
      </c>
      <c t="s">
        <v>6064</v>
      </c>
      <c t="s">
        <v>6065</v>
      </c>
      <c t="s">
        <v>5124</v>
      </c>
      <c t="s">
        <v>6066</v>
      </c>
    </row>
    <row r="346" spans="1:7" ht="11.25" customHeight="1">
      <c r="A346" s="376" t="s">
        <v>16</v>
      </c>
      <c t="s">
        <v>6059</v>
      </c>
      <c t="s">
        <v>6060</v>
      </c>
      <c t="s">
        <v>6067</v>
      </c>
      <c t="s">
        <v>6068</v>
      </c>
      <c t="s">
        <v>5124</v>
      </c>
      <c t="s">
        <v>6069</v>
      </c>
    </row>
    <row r="347" spans="1:7" ht="11.25" customHeight="1">
      <c r="A347" s="376" t="s">
        <v>16</v>
      </c>
      <c t="s">
        <v>6059</v>
      </c>
      <c t="s">
        <v>6060</v>
      </c>
      <c t="s">
        <v>6070</v>
      </c>
      <c t="s">
        <v>6071</v>
      </c>
      <c t="s">
        <v>5124</v>
      </c>
      <c t="s">
        <v>6072</v>
      </c>
    </row>
    <row r="348" spans="1:7" ht="11.25" customHeight="1">
      <c r="A348" s="376" t="s">
        <v>16</v>
      </c>
      <c t="s">
        <v>6059</v>
      </c>
      <c t="s">
        <v>6060</v>
      </c>
      <c t="s">
        <v>6073</v>
      </c>
      <c t="s">
        <v>6074</v>
      </c>
      <c t="s">
        <v>5124</v>
      </c>
      <c t="s">
        <v>6075</v>
      </c>
    </row>
    <row r="349" spans="1:7" ht="11.25" customHeight="1">
      <c r="A349" s="376" t="s">
        <v>16</v>
      </c>
      <c t="s">
        <v>6059</v>
      </c>
      <c t="s">
        <v>6060</v>
      </c>
      <c t="s">
        <v>6076</v>
      </c>
      <c t="s">
        <v>6077</v>
      </c>
      <c t="s">
        <v>5124</v>
      </c>
      <c t="s">
        <v>6078</v>
      </c>
    </row>
    <row r="350" spans="1:7" ht="11.25" customHeight="1">
      <c r="A350" s="376" t="s">
        <v>16</v>
      </c>
      <c t="s">
        <v>6059</v>
      </c>
      <c t="s">
        <v>6060</v>
      </c>
      <c t="s">
        <v>6079</v>
      </c>
      <c t="s">
        <v>6080</v>
      </c>
      <c t="s">
        <v>5124</v>
      </c>
      <c t="s">
        <v>6081</v>
      </c>
    </row>
    <row r="351" spans="1:7" ht="11.25" customHeight="1">
      <c r="A351" s="376" t="s">
        <v>16</v>
      </c>
      <c t="s">
        <v>6059</v>
      </c>
      <c t="s">
        <v>6060</v>
      </c>
      <c t="s">
        <v>6082</v>
      </c>
      <c t="s">
        <v>6083</v>
      </c>
      <c t="s">
        <v>5124</v>
      </c>
      <c t="s">
        <v>6084</v>
      </c>
    </row>
    <row r="352" spans="1:7" ht="11.25" customHeight="1">
      <c r="A352" s="376" t="s">
        <v>16</v>
      </c>
      <c t="s">
        <v>6059</v>
      </c>
      <c t="s">
        <v>6060</v>
      </c>
      <c t="s">
        <v>6085</v>
      </c>
      <c t="s">
        <v>6086</v>
      </c>
      <c t="s">
        <v>5124</v>
      </c>
      <c t="s">
        <v>6087</v>
      </c>
    </row>
    <row r="353" spans="1:7" ht="11.25" customHeight="1">
      <c r="A353" s="376" t="s">
        <v>16</v>
      </c>
      <c t="s">
        <v>6059</v>
      </c>
      <c t="s">
        <v>6060</v>
      </c>
      <c t="s">
        <v>6088</v>
      </c>
      <c t="s">
        <v>6089</v>
      </c>
      <c t="s">
        <v>5124</v>
      </c>
      <c t="s">
        <v>6090</v>
      </c>
    </row>
    <row r="354" spans="1:7" ht="11.25" customHeight="1">
      <c r="A354" s="376" t="s">
        <v>16</v>
      </c>
      <c t="s">
        <v>6059</v>
      </c>
      <c t="s">
        <v>6060</v>
      </c>
      <c t="s">
        <v>6059</v>
      </c>
      <c t="s">
        <v>6060</v>
      </c>
      <c t="s">
        <v>5115</v>
      </c>
      <c t="s">
        <v>6091</v>
      </c>
    </row>
    <row r="355" spans="1:7" ht="11.25" customHeight="1">
      <c r="A355" s="376" t="s">
        <v>16</v>
      </c>
      <c t="s">
        <v>6059</v>
      </c>
      <c t="s">
        <v>6060</v>
      </c>
      <c t="s">
        <v>6092</v>
      </c>
      <c t="s">
        <v>6093</v>
      </c>
      <c t="s">
        <v>5118</v>
      </c>
      <c t="s">
        <v>6094</v>
      </c>
    </row>
    <row r="356" spans="1:7" ht="11.25" customHeight="1">
      <c r="A356" s="376" t="s">
        <v>16</v>
      </c>
      <c t="s">
        <v>6059</v>
      </c>
      <c t="s">
        <v>6060</v>
      </c>
      <c t="s">
        <v>6095</v>
      </c>
      <c t="s">
        <v>6096</v>
      </c>
      <c t="s">
        <v>5124</v>
      </c>
      <c t="s">
        <v>6097</v>
      </c>
    </row>
    <row r="357" spans="1:7" ht="11.25" customHeight="1">
      <c r="A357" s="376" t="s">
        <v>16</v>
      </c>
      <c t="s">
        <v>6098</v>
      </c>
      <c t="s">
        <v>6099</v>
      </c>
      <c t="s">
        <v>6100</v>
      </c>
      <c t="s">
        <v>6101</v>
      </c>
      <c t="s">
        <v>5124</v>
      </c>
      <c t="s">
        <v>6102</v>
      </c>
    </row>
    <row r="358" spans="1:7" ht="11.25" customHeight="1">
      <c r="A358" s="376" t="s">
        <v>16</v>
      </c>
      <c t="s">
        <v>6098</v>
      </c>
      <c t="s">
        <v>6099</v>
      </c>
      <c t="s">
        <v>6103</v>
      </c>
      <c t="s">
        <v>6104</v>
      </c>
      <c t="s">
        <v>5124</v>
      </c>
      <c t="s">
        <v>6105</v>
      </c>
    </row>
    <row r="359" spans="1:7" ht="11.25" customHeight="1">
      <c r="A359" s="376" t="s">
        <v>16</v>
      </c>
      <c t="s">
        <v>6098</v>
      </c>
      <c t="s">
        <v>6099</v>
      </c>
      <c t="s">
        <v>6106</v>
      </c>
      <c t="s">
        <v>6107</v>
      </c>
      <c t="s">
        <v>5124</v>
      </c>
      <c t="s">
        <v>6108</v>
      </c>
    </row>
    <row r="360" spans="1:7" ht="11.25" customHeight="1">
      <c r="A360" s="376" t="s">
        <v>16</v>
      </c>
      <c t="s">
        <v>6098</v>
      </c>
      <c t="s">
        <v>6099</v>
      </c>
      <c t="s">
        <v>6109</v>
      </c>
      <c t="s">
        <v>6110</v>
      </c>
      <c t="s">
        <v>5124</v>
      </c>
      <c t="s">
        <v>6111</v>
      </c>
    </row>
    <row r="361" spans="1:7" ht="11.25" customHeight="1">
      <c r="A361" s="376" t="s">
        <v>16</v>
      </c>
      <c t="s">
        <v>6098</v>
      </c>
      <c t="s">
        <v>6099</v>
      </c>
      <c t="s">
        <v>6112</v>
      </c>
      <c t="s">
        <v>6113</v>
      </c>
      <c t="s">
        <v>5124</v>
      </c>
      <c t="s">
        <v>6114</v>
      </c>
    </row>
    <row r="362" spans="1:7" ht="11.25" customHeight="1">
      <c r="A362" s="376" t="s">
        <v>16</v>
      </c>
      <c t="s">
        <v>6098</v>
      </c>
      <c t="s">
        <v>6099</v>
      </c>
      <c t="s">
        <v>6115</v>
      </c>
      <c t="s">
        <v>6116</v>
      </c>
      <c t="s">
        <v>5124</v>
      </c>
      <c t="s">
        <v>6117</v>
      </c>
    </row>
    <row r="363" spans="1:7" ht="11.25" customHeight="1">
      <c r="A363" s="376" t="s">
        <v>16</v>
      </c>
      <c t="s">
        <v>6098</v>
      </c>
      <c t="s">
        <v>6099</v>
      </c>
      <c t="s">
        <v>6118</v>
      </c>
      <c t="s">
        <v>6119</v>
      </c>
      <c t="s">
        <v>5124</v>
      </c>
      <c t="s">
        <v>6120</v>
      </c>
    </row>
    <row r="364" spans="1:7" ht="11.25" customHeight="1">
      <c r="A364" s="376" t="s">
        <v>16</v>
      </c>
      <c t="s">
        <v>6098</v>
      </c>
      <c t="s">
        <v>6099</v>
      </c>
      <c t="s">
        <v>6121</v>
      </c>
      <c t="s">
        <v>6122</v>
      </c>
      <c t="s">
        <v>5124</v>
      </c>
      <c t="s">
        <v>6123</v>
      </c>
    </row>
    <row r="365" spans="1:7" ht="11.25" customHeight="1">
      <c r="A365" s="376" t="s">
        <v>16</v>
      </c>
      <c t="s">
        <v>6098</v>
      </c>
      <c t="s">
        <v>6099</v>
      </c>
      <c t="s">
        <v>6124</v>
      </c>
      <c t="s">
        <v>6125</v>
      </c>
      <c t="s">
        <v>5124</v>
      </c>
      <c t="s">
        <v>6126</v>
      </c>
    </row>
    <row r="366" spans="1:7" ht="11.25" customHeight="1">
      <c r="A366" s="376" t="s">
        <v>16</v>
      </c>
      <c t="s">
        <v>6098</v>
      </c>
      <c t="s">
        <v>6099</v>
      </c>
      <c t="s">
        <v>6098</v>
      </c>
      <c t="s">
        <v>6099</v>
      </c>
      <c t="s">
        <v>5115</v>
      </c>
      <c t="s">
        <v>6127</v>
      </c>
    </row>
    <row r="367" spans="1:7" ht="11.25" customHeight="1">
      <c r="A367" s="376" t="s">
        <v>16</v>
      </c>
      <c t="s">
        <v>6098</v>
      </c>
      <c t="s">
        <v>6099</v>
      </c>
      <c t="s">
        <v>6128</v>
      </c>
      <c t="s">
        <v>6129</v>
      </c>
      <c t="s">
        <v>5118</v>
      </c>
      <c t="s">
        <v>6130</v>
      </c>
    </row>
    <row r="368" spans="1:7" ht="11.25" customHeight="1">
      <c r="A368" s="376" t="s">
        <v>16</v>
      </c>
      <c t="s">
        <v>6131</v>
      </c>
      <c t="s">
        <v>6132</v>
      </c>
      <c t="s">
        <v>6133</v>
      </c>
      <c t="s">
        <v>6134</v>
      </c>
      <c t="s">
        <v>5124</v>
      </c>
      <c t="s">
        <v>6135</v>
      </c>
    </row>
    <row r="369" spans="1:7" ht="11.25" customHeight="1">
      <c r="A369" s="376" t="s">
        <v>16</v>
      </c>
      <c t="s">
        <v>6131</v>
      </c>
      <c t="s">
        <v>6132</v>
      </c>
      <c t="s">
        <v>6136</v>
      </c>
      <c t="s">
        <v>6137</v>
      </c>
      <c t="s">
        <v>5124</v>
      </c>
      <c t="s">
        <v>6138</v>
      </c>
    </row>
    <row r="370" spans="1:7" ht="11.25" customHeight="1">
      <c r="A370" s="376" t="s">
        <v>16</v>
      </c>
      <c t="s">
        <v>6131</v>
      </c>
      <c t="s">
        <v>6132</v>
      </c>
      <c t="s">
        <v>6139</v>
      </c>
      <c t="s">
        <v>6140</v>
      </c>
      <c t="s">
        <v>5124</v>
      </c>
      <c t="s">
        <v>6141</v>
      </c>
    </row>
    <row r="371" spans="1:7" ht="11.25" customHeight="1">
      <c r="A371" s="376" t="s">
        <v>16</v>
      </c>
      <c t="s">
        <v>6131</v>
      </c>
      <c t="s">
        <v>6132</v>
      </c>
      <c t="s">
        <v>6142</v>
      </c>
      <c t="s">
        <v>6143</v>
      </c>
      <c t="s">
        <v>5124</v>
      </c>
      <c t="s">
        <v>6144</v>
      </c>
    </row>
    <row r="372" spans="1:7" ht="11.25" customHeight="1">
      <c r="A372" s="376" t="s">
        <v>16</v>
      </c>
      <c t="s">
        <v>6131</v>
      </c>
      <c t="s">
        <v>6132</v>
      </c>
      <c t="s">
        <v>6145</v>
      </c>
      <c t="s">
        <v>6146</v>
      </c>
      <c t="s">
        <v>5124</v>
      </c>
      <c t="s">
        <v>6147</v>
      </c>
    </row>
    <row r="373" spans="1:7" ht="11.25" customHeight="1">
      <c r="A373" s="376" t="s">
        <v>16</v>
      </c>
      <c t="s">
        <v>6131</v>
      </c>
      <c t="s">
        <v>6132</v>
      </c>
      <c t="s">
        <v>5841</v>
      </c>
      <c t="s">
        <v>6148</v>
      </c>
      <c t="s">
        <v>5124</v>
      </c>
      <c t="s">
        <v>6149</v>
      </c>
    </row>
    <row r="374" spans="1:7" ht="11.25" customHeight="1">
      <c r="A374" s="376" t="s">
        <v>16</v>
      </c>
      <c t="s">
        <v>6131</v>
      </c>
      <c t="s">
        <v>6132</v>
      </c>
      <c t="s">
        <v>6150</v>
      </c>
      <c t="s">
        <v>6151</v>
      </c>
      <c t="s">
        <v>5124</v>
      </c>
      <c t="s">
        <v>6152</v>
      </c>
    </row>
    <row r="375" spans="1:7" ht="11.25" customHeight="1">
      <c r="A375" s="376" t="s">
        <v>16</v>
      </c>
      <c t="s">
        <v>6131</v>
      </c>
      <c t="s">
        <v>6132</v>
      </c>
      <c t="s">
        <v>6153</v>
      </c>
      <c t="s">
        <v>6154</v>
      </c>
      <c t="s">
        <v>5124</v>
      </c>
      <c t="s">
        <v>6155</v>
      </c>
    </row>
    <row r="376" spans="1:7" ht="11.25" customHeight="1">
      <c r="A376" s="376" t="s">
        <v>16</v>
      </c>
      <c t="s">
        <v>6131</v>
      </c>
      <c t="s">
        <v>6132</v>
      </c>
      <c t="s">
        <v>6131</v>
      </c>
      <c t="s">
        <v>6132</v>
      </c>
      <c t="s">
        <v>5115</v>
      </c>
      <c t="s">
        <v>6156</v>
      </c>
    </row>
    <row r="377" spans="1:7" ht="11.25" customHeight="1">
      <c r="A377" s="376" t="s">
        <v>16</v>
      </c>
      <c t="s">
        <v>6131</v>
      </c>
      <c t="s">
        <v>6132</v>
      </c>
      <c t="s">
        <v>6157</v>
      </c>
      <c t="s">
        <v>6158</v>
      </c>
      <c t="s">
        <v>5118</v>
      </c>
      <c t="s">
        <v>6159</v>
      </c>
    </row>
    <row r="378" spans="1:7" ht="11.25" customHeight="1">
      <c r="A378" s="376" t="s">
        <v>16</v>
      </c>
      <c t="s">
        <v>6131</v>
      </c>
      <c t="s">
        <v>6132</v>
      </c>
      <c t="s">
        <v>6160</v>
      </c>
      <c t="s">
        <v>6161</v>
      </c>
      <c t="s">
        <v>5124</v>
      </c>
      <c t="s">
        <v>6162</v>
      </c>
    </row>
    <row r="379" spans="1:7" ht="11.25" customHeight="1">
      <c r="A379" s="376" t="s">
        <v>16</v>
      </c>
      <c t="s">
        <v>6131</v>
      </c>
      <c t="s">
        <v>6132</v>
      </c>
      <c t="s">
        <v>6163</v>
      </c>
      <c t="s">
        <v>6164</v>
      </c>
      <c t="s">
        <v>5124</v>
      </c>
      <c t="s">
        <v>6165</v>
      </c>
    </row>
    <row r="380" spans="1:7" ht="11.25" customHeight="1">
      <c r="A380" s="376" t="s">
        <v>16</v>
      </c>
      <c t="s">
        <v>6131</v>
      </c>
      <c t="s">
        <v>6132</v>
      </c>
      <c t="s">
        <v>6166</v>
      </c>
      <c t="s">
        <v>6167</v>
      </c>
      <c t="s">
        <v>5124</v>
      </c>
      <c t="s">
        <v>6168</v>
      </c>
    </row>
    <row r="381" spans="1:7" ht="11.25" customHeight="1">
      <c r="A381" s="376" t="s">
        <v>16</v>
      </c>
      <c t="s">
        <v>6169</v>
      </c>
      <c t="s">
        <v>6170</v>
      </c>
      <c t="s">
        <v>6171</v>
      </c>
      <c t="s">
        <v>6172</v>
      </c>
      <c t="s">
        <v>5124</v>
      </c>
      <c t="s">
        <v>6173</v>
      </c>
    </row>
    <row r="382" spans="1:7" ht="11.25" customHeight="1">
      <c r="A382" s="376" t="s">
        <v>16</v>
      </c>
      <c t="s">
        <v>6169</v>
      </c>
      <c t="s">
        <v>6170</v>
      </c>
      <c t="s">
        <v>6174</v>
      </c>
      <c t="s">
        <v>6175</v>
      </c>
      <c t="s">
        <v>5124</v>
      </c>
      <c t="s">
        <v>6176</v>
      </c>
    </row>
    <row r="383" spans="1:7" ht="11.25" customHeight="1">
      <c r="A383" s="376" t="s">
        <v>16</v>
      </c>
      <c t="s">
        <v>6169</v>
      </c>
      <c t="s">
        <v>6170</v>
      </c>
      <c t="s">
        <v>6177</v>
      </c>
      <c t="s">
        <v>6178</v>
      </c>
      <c t="s">
        <v>5121</v>
      </c>
      <c t="s">
        <v>6179</v>
      </c>
    </row>
    <row r="384" spans="1:7" ht="11.25" customHeight="1">
      <c r="A384" s="376" t="s">
        <v>16</v>
      </c>
      <c t="s">
        <v>6169</v>
      </c>
      <c t="s">
        <v>6170</v>
      </c>
      <c t="s">
        <v>6180</v>
      </c>
      <c t="s">
        <v>6181</v>
      </c>
      <c t="s">
        <v>5124</v>
      </c>
      <c t="s">
        <v>6182</v>
      </c>
    </row>
    <row r="385" spans="1:7" ht="11.25" customHeight="1">
      <c r="A385" s="376" t="s">
        <v>16</v>
      </c>
      <c t="s">
        <v>6169</v>
      </c>
      <c t="s">
        <v>6170</v>
      </c>
      <c t="s">
        <v>6183</v>
      </c>
      <c t="s">
        <v>6184</v>
      </c>
      <c t="s">
        <v>5121</v>
      </c>
      <c t="s">
        <v>6185</v>
      </c>
    </row>
    <row r="386" spans="1:7" ht="11.25" customHeight="1">
      <c r="A386" s="376" t="s">
        <v>16</v>
      </c>
      <c t="s">
        <v>6169</v>
      </c>
      <c t="s">
        <v>6170</v>
      </c>
      <c t="s">
        <v>5499</v>
      </c>
      <c t="s">
        <v>6186</v>
      </c>
      <c t="s">
        <v>5124</v>
      </c>
      <c t="s">
        <v>6187</v>
      </c>
    </row>
    <row r="387" spans="1:7" ht="11.25" customHeight="1">
      <c r="A387" s="376" t="s">
        <v>16</v>
      </c>
      <c t="s">
        <v>6169</v>
      </c>
      <c t="s">
        <v>6170</v>
      </c>
      <c t="s">
        <v>6188</v>
      </c>
      <c t="s">
        <v>6189</v>
      </c>
      <c t="s">
        <v>5124</v>
      </c>
      <c t="s">
        <v>6190</v>
      </c>
    </row>
    <row r="388" spans="1:7" ht="11.25" customHeight="1">
      <c r="A388" s="376" t="s">
        <v>16</v>
      </c>
      <c t="s">
        <v>6169</v>
      </c>
      <c t="s">
        <v>6170</v>
      </c>
      <c t="s">
        <v>6169</v>
      </c>
      <c t="s">
        <v>6170</v>
      </c>
      <c t="s">
        <v>5115</v>
      </c>
      <c t="s">
        <v>6191</v>
      </c>
    </row>
    <row r="389" spans="1:7" ht="11.25" customHeight="1">
      <c r="A389" s="376" t="s">
        <v>16</v>
      </c>
      <c t="s">
        <v>6169</v>
      </c>
      <c t="s">
        <v>6170</v>
      </c>
      <c t="s">
        <v>6192</v>
      </c>
      <c t="s">
        <v>6193</v>
      </c>
      <c t="s">
        <v>5118</v>
      </c>
      <c t="s">
        <v>6194</v>
      </c>
    </row>
    <row r="390" spans="1:7" ht="11.25" customHeight="1">
      <c r="A390" s="376" t="s">
        <v>16</v>
      </c>
      <c t="s">
        <v>6169</v>
      </c>
      <c t="s">
        <v>6170</v>
      </c>
      <c t="s">
        <v>6195</v>
      </c>
      <c t="s">
        <v>6196</v>
      </c>
      <c t="s">
        <v>5124</v>
      </c>
      <c t="s">
        <v>6197</v>
      </c>
    </row>
    <row r="391" spans="1:7" ht="11.25" customHeight="1">
      <c r="A391" s="376" t="s">
        <v>16</v>
      </c>
      <c t="s">
        <v>6169</v>
      </c>
      <c t="s">
        <v>6170</v>
      </c>
      <c t="s">
        <v>6198</v>
      </c>
      <c t="s">
        <v>6199</v>
      </c>
      <c t="s">
        <v>5124</v>
      </c>
      <c t="s">
        <v>6200</v>
      </c>
    </row>
    <row r="392" spans="1:7" ht="11.25" customHeight="1">
      <c r="A392" s="376" t="s">
        <v>16</v>
      </c>
      <c t="s">
        <v>6201</v>
      </c>
      <c t="s">
        <v>6202</v>
      </c>
      <c t="s">
        <v>5870</v>
      </c>
      <c t="s">
        <v>6203</v>
      </c>
      <c t="s">
        <v>5124</v>
      </c>
      <c t="s">
        <v>6204</v>
      </c>
    </row>
    <row r="393" spans="1:7" ht="11.25" customHeight="1">
      <c r="A393" s="376" t="s">
        <v>16</v>
      </c>
      <c t="s">
        <v>6201</v>
      </c>
      <c t="s">
        <v>6202</v>
      </c>
      <c t="s">
        <v>6205</v>
      </c>
      <c t="s">
        <v>6206</v>
      </c>
      <c t="s">
        <v>5124</v>
      </c>
      <c t="s">
        <v>6207</v>
      </c>
    </row>
    <row r="394" spans="1:7" ht="11.25" customHeight="1">
      <c r="A394" s="376" t="s">
        <v>16</v>
      </c>
      <c t="s">
        <v>6201</v>
      </c>
      <c t="s">
        <v>6202</v>
      </c>
      <c t="s">
        <v>6208</v>
      </c>
      <c t="s">
        <v>6209</v>
      </c>
      <c t="s">
        <v>5124</v>
      </c>
      <c t="s">
        <v>6210</v>
      </c>
    </row>
    <row r="395" spans="1:7" ht="11.25" customHeight="1">
      <c r="A395" s="376" t="s">
        <v>16</v>
      </c>
      <c t="s">
        <v>6201</v>
      </c>
      <c t="s">
        <v>6202</v>
      </c>
      <c t="s">
        <v>6211</v>
      </c>
      <c t="s">
        <v>6212</v>
      </c>
      <c t="s">
        <v>5124</v>
      </c>
      <c t="s">
        <v>6213</v>
      </c>
    </row>
    <row r="396" spans="1:7" ht="11.25" customHeight="1">
      <c r="A396" s="376" t="s">
        <v>16</v>
      </c>
      <c t="s">
        <v>6201</v>
      </c>
      <c t="s">
        <v>6202</v>
      </c>
      <c t="s">
        <v>6214</v>
      </c>
      <c t="s">
        <v>6215</v>
      </c>
      <c t="s">
        <v>5124</v>
      </c>
      <c t="s">
        <v>6216</v>
      </c>
    </row>
    <row r="397" spans="1:7" ht="11.25" customHeight="1">
      <c r="A397" s="376" t="s">
        <v>16</v>
      </c>
      <c t="s">
        <v>6201</v>
      </c>
      <c t="s">
        <v>6202</v>
      </c>
      <c t="s">
        <v>6217</v>
      </c>
      <c t="s">
        <v>6218</v>
      </c>
      <c t="s">
        <v>5124</v>
      </c>
      <c t="s">
        <v>6219</v>
      </c>
    </row>
    <row r="398" spans="1:7" ht="11.25" customHeight="1">
      <c r="A398" s="376" t="s">
        <v>16</v>
      </c>
      <c t="s">
        <v>6201</v>
      </c>
      <c t="s">
        <v>6202</v>
      </c>
      <c t="s">
        <v>6220</v>
      </c>
      <c t="s">
        <v>6221</v>
      </c>
      <c t="s">
        <v>5124</v>
      </c>
      <c t="s">
        <v>6222</v>
      </c>
    </row>
    <row r="399" spans="1:7" ht="11.25" customHeight="1">
      <c r="A399" s="376" t="s">
        <v>16</v>
      </c>
      <c t="s">
        <v>6201</v>
      </c>
      <c t="s">
        <v>6202</v>
      </c>
      <c t="s">
        <v>6223</v>
      </c>
      <c t="s">
        <v>6224</v>
      </c>
      <c t="s">
        <v>5124</v>
      </c>
      <c t="s">
        <v>6225</v>
      </c>
    </row>
    <row r="400" spans="1:7" ht="11.25" customHeight="1">
      <c r="A400" s="376" t="s">
        <v>16</v>
      </c>
      <c t="s">
        <v>6201</v>
      </c>
      <c t="s">
        <v>6202</v>
      </c>
      <c t="s">
        <v>6226</v>
      </c>
      <c t="s">
        <v>6227</v>
      </c>
      <c t="s">
        <v>5124</v>
      </c>
      <c t="s">
        <v>6228</v>
      </c>
    </row>
    <row r="401" spans="1:7" ht="11.25" customHeight="1">
      <c r="A401" s="376" t="s">
        <v>16</v>
      </c>
      <c t="s">
        <v>6201</v>
      </c>
      <c t="s">
        <v>6202</v>
      </c>
      <c t="s">
        <v>6201</v>
      </c>
      <c t="s">
        <v>6202</v>
      </c>
      <c t="s">
        <v>5115</v>
      </c>
      <c t="s">
        <v>6229</v>
      </c>
    </row>
    <row r="402" spans="1:7" ht="11.25" customHeight="1">
      <c r="A402" s="376" t="s">
        <v>16</v>
      </c>
      <c t="s">
        <v>6201</v>
      </c>
      <c t="s">
        <v>6202</v>
      </c>
      <c t="s">
        <v>5167</v>
      </c>
      <c t="s">
        <v>6230</v>
      </c>
      <c t="s">
        <v>5124</v>
      </c>
      <c t="s">
        <v>6231</v>
      </c>
    </row>
    <row r="403" spans="1:7" ht="11.25" customHeight="1">
      <c r="A403" s="376" t="s">
        <v>16</v>
      </c>
      <c t="s">
        <v>6232</v>
      </c>
      <c t="s">
        <v>6233</v>
      </c>
      <c t="s">
        <v>5336</v>
      </c>
      <c t="s">
        <v>6234</v>
      </c>
      <c t="s">
        <v>5124</v>
      </c>
      <c t="s">
        <v>6235</v>
      </c>
    </row>
    <row r="404" spans="1:7" ht="11.25" customHeight="1">
      <c r="A404" s="376" t="s">
        <v>16</v>
      </c>
      <c t="s">
        <v>6232</v>
      </c>
      <c t="s">
        <v>6233</v>
      </c>
      <c t="s">
        <v>6139</v>
      </c>
      <c t="s">
        <v>6236</v>
      </c>
      <c t="s">
        <v>5124</v>
      </c>
      <c t="s">
        <v>6237</v>
      </c>
    </row>
    <row r="405" spans="1:7" ht="11.25" customHeight="1">
      <c r="A405" s="376" t="s">
        <v>16</v>
      </c>
      <c t="s">
        <v>6232</v>
      </c>
      <c t="s">
        <v>6233</v>
      </c>
      <c t="s">
        <v>6238</v>
      </c>
      <c t="s">
        <v>6239</v>
      </c>
      <c t="s">
        <v>5124</v>
      </c>
      <c t="s">
        <v>6240</v>
      </c>
    </row>
    <row r="406" spans="1:7" ht="11.25" customHeight="1">
      <c r="A406" s="376" t="s">
        <v>16</v>
      </c>
      <c t="s">
        <v>6232</v>
      </c>
      <c t="s">
        <v>6233</v>
      </c>
      <c t="s">
        <v>6241</v>
      </c>
      <c t="s">
        <v>6242</v>
      </c>
      <c t="s">
        <v>5124</v>
      </c>
      <c t="s">
        <v>6243</v>
      </c>
    </row>
    <row r="407" spans="1:7" ht="11.25" customHeight="1">
      <c r="A407" s="376" t="s">
        <v>16</v>
      </c>
      <c t="s">
        <v>6232</v>
      </c>
      <c t="s">
        <v>6233</v>
      </c>
      <c t="s">
        <v>5690</v>
      </c>
      <c t="s">
        <v>6244</v>
      </c>
      <c t="s">
        <v>5124</v>
      </c>
      <c t="s">
        <v>6245</v>
      </c>
    </row>
    <row r="408" spans="1:7" ht="11.25" customHeight="1">
      <c r="A408" s="376" t="s">
        <v>16</v>
      </c>
      <c t="s">
        <v>6232</v>
      </c>
      <c t="s">
        <v>6233</v>
      </c>
      <c t="s">
        <v>6246</v>
      </c>
      <c t="s">
        <v>6247</v>
      </c>
      <c t="s">
        <v>5124</v>
      </c>
      <c t="s">
        <v>6248</v>
      </c>
    </row>
    <row r="409" spans="1:7" ht="11.25" customHeight="1">
      <c r="A409" s="376" t="s">
        <v>16</v>
      </c>
      <c t="s">
        <v>6232</v>
      </c>
      <c t="s">
        <v>6233</v>
      </c>
      <c t="s">
        <v>6249</v>
      </c>
      <c t="s">
        <v>6250</v>
      </c>
      <c t="s">
        <v>5124</v>
      </c>
      <c t="s">
        <v>6251</v>
      </c>
    </row>
    <row r="410" spans="1:7" ht="11.25" customHeight="1">
      <c r="A410" s="376" t="s">
        <v>16</v>
      </c>
      <c t="s">
        <v>6232</v>
      </c>
      <c t="s">
        <v>6233</v>
      </c>
      <c t="s">
        <v>6252</v>
      </c>
      <c t="s">
        <v>6253</v>
      </c>
      <c t="s">
        <v>5124</v>
      </c>
      <c t="s">
        <v>6254</v>
      </c>
    </row>
    <row r="411" spans="1:7" ht="11.25" customHeight="1">
      <c r="A411" s="376" t="s">
        <v>16</v>
      </c>
      <c t="s">
        <v>6232</v>
      </c>
      <c t="s">
        <v>6233</v>
      </c>
      <c t="s">
        <v>6255</v>
      </c>
      <c t="s">
        <v>6256</v>
      </c>
      <c t="s">
        <v>5124</v>
      </c>
      <c t="s">
        <v>6257</v>
      </c>
    </row>
    <row r="412" spans="1:7" ht="11.25" customHeight="1">
      <c r="A412" s="376" t="s">
        <v>16</v>
      </c>
      <c t="s">
        <v>6232</v>
      </c>
      <c t="s">
        <v>6233</v>
      </c>
      <c t="s">
        <v>6258</v>
      </c>
      <c t="s">
        <v>6259</v>
      </c>
      <c t="s">
        <v>5124</v>
      </c>
      <c t="s">
        <v>6260</v>
      </c>
    </row>
    <row r="413" spans="1:7" ht="11.25" customHeight="1">
      <c r="A413" s="376" t="s">
        <v>16</v>
      </c>
      <c t="s">
        <v>6232</v>
      </c>
      <c t="s">
        <v>6233</v>
      </c>
      <c t="s">
        <v>6261</v>
      </c>
      <c t="s">
        <v>6262</v>
      </c>
      <c t="s">
        <v>5124</v>
      </c>
      <c t="s">
        <v>6263</v>
      </c>
    </row>
    <row r="414" spans="1:7" ht="11.25" customHeight="1">
      <c r="A414" s="376" t="s">
        <v>16</v>
      </c>
      <c t="s">
        <v>6232</v>
      </c>
      <c t="s">
        <v>6233</v>
      </c>
      <c t="s">
        <v>6264</v>
      </c>
      <c t="s">
        <v>6265</v>
      </c>
      <c t="s">
        <v>5124</v>
      </c>
      <c t="s">
        <v>6266</v>
      </c>
    </row>
    <row r="415" spans="1:7" ht="11.25" customHeight="1">
      <c r="A415" s="376" t="s">
        <v>16</v>
      </c>
      <c t="s">
        <v>6232</v>
      </c>
      <c t="s">
        <v>6233</v>
      </c>
      <c t="s">
        <v>6267</v>
      </c>
      <c t="s">
        <v>6268</v>
      </c>
      <c t="s">
        <v>5124</v>
      </c>
      <c t="s">
        <v>6269</v>
      </c>
    </row>
    <row r="416" spans="1:7" ht="11.25" customHeight="1">
      <c r="A416" s="376" t="s">
        <v>16</v>
      </c>
      <c t="s">
        <v>6232</v>
      </c>
      <c t="s">
        <v>6233</v>
      </c>
      <c t="s">
        <v>6188</v>
      </c>
      <c t="s">
        <v>6270</v>
      </c>
      <c t="s">
        <v>5124</v>
      </c>
      <c t="s">
        <v>6271</v>
      </c>
    </row>
    <row r="417" spans="1:7" ht="11.25" customHeight="1">
      <c r="A417" s="376" t="s">
        <v>16</v>
      </c>
      <c t="s">
        <v>6232</v>
      </c>
      <c t="s">
        <v>6233</v>
      </c>
      <c t="s">
        <v>6232</v>
      </c>
      <c t="s">
        <v>6233</v>
      </c>
      <c t="s">
        <v>5115</v>
      </c>
      <c t="s">
        <v>6272</v>
      </c>
    </row>
    <row r="418" spans="1:7" ht="11.25" customHeight="1">
      <c r="A418" s="376" t="s">
        <v>16</v>
      </c>
      <c t="s">
        <v>6232</v>
      </c>
      <c t="s">
        <v>6233</v>
      </c>
      <c t="s">
        <v>6273</v>
      </c>
      <c t="s">
        <v>6274</v>
      </c>
      <c t="s">
        <v>5118</v>
      </c>
      <c t="s">
        <v>6275</v>
      </c>
    </row>
    <row r="419" spans="1:7" ht="11.25" customHeight="1">
      <c r="A419" s="376" t="s">
        <v>16</v>
      </c>
      <c t="s">
        <v>6276</v>
      </c>
      <c t="s">
        <v>6277</v>
      </c>
      <c t="s">
        <v>6278</v>
      </c>
      <c t="s">
        <v>6279</v>
      </c>
      <c t="s">
        <v>5124</v>
      </c>
      <c t="s">
        <v>6280</v>
      </c>
    </row>
    <row r="420" spans="1:7" ht="11.25" customHeight="1">
      <c r="A420" s="376" t="s">
        <v>16</v>
      </c>
      <c t="s">
        <v>6276</v>
      </c>
      <c t="s">
        <v>6277</v>
      </c>
      <c t="s">
        <v>6281</v>
      </c>
      <c t="s">
        <v>6282</v>
      </c>
      <c t="s">
        <v>5124</v>
      </c>
      <c t="s">
        <v>6283</v>
      </c>
    </row>
    <row r="421" spans="1:7" ht="11.25" customHeight="1">
      <c r="A421" s="376" t="s">
        <v>16</v>
      </c>
      <c t="s">
        <v>6276</v>
      </c>
      <c t="s">
        <v>6277</v>
      </c>
      <c t="s">
        <v>6284</v>
      </c>
      <c t="s">
        <v>6285</v>
      </c>
      <c t="s">
        <v>5124</v>
      </c>
      <c t="s">
        <v>6286</v>
      </c>
    </row>
    <row r="422" spans="1:7" ht="11.25" customHeight="1">
      <c r="A422" s="376" t="s">
        <v>16</v>
      </c>
      <c t="s">
        <v>6276</v>
      </c>
      <c t="s">
        <v>6277</v>
      </c>
      <c t="s">
        <v>6217</v>
      </c>
      <c t="s">
        <v>6287</v>
      </c>
      <c t="s">
        <v>5124</v>
      </c>
      <c t="s">
        <v>6288</v>
      </c>
    </row>
    <row r="423" spans="1:7" ht="11.25" customHeight="1">
      <c r="A423" s="376" t="s">
        <v>16</v>
      </c>
      <c t="s">
        <v>6276</v>
      </c>
      <c t="s">
        <v>6277</v>
      </c>
      <c t="s">
        <v>6289</v>
      </c>
      <c t="s">
        <v>6290</v>
      </c>
      <c t="s">
        <v>5124</v>
      </c>
      <c t="s">
        <v>6291</v>
      </c>
    </row>
    <row r="424" spans="1:7" ht="11.25" customHeight="1">
      <c r="A424" s="376" t="s">
        <v>16</v>
      </c>
      <c t="s">
        <v>6276</v>
      </c>
      <c t="s">
        <v>6277</v>
      </c>
      <c t="s">
        <v>6292</v>
      </c>
      <c t="s">
        <v>6293</v>
      </c>
      <c t="s">
        <v>5124</v>
      </c>
      <c t="s">
        <v>6294</v>
      </c>
    </row>
    <row r="425" spans="1:7" ht="11.25" customHeight="1">
      <c r="A425" s="376" t="s">
        <v>16</v>
      </c>
      <c t="s">
        <v>6276</v>
      </c>
      <c t="s">
        <v>6277</v>
      </c>
      <c t="s">
        <v>6295</v>
      </c>
      <c t="s">
        <v>6296</v>
      </c>
      <c t="s">
        <v>5124</v>
      </c>
      <c t="s">
        <v>6297</v>
      </c>
    </row>
    <row r="426" spans="1:7" ht="11.25" customHeight="1">
      <c r="A426" s="376" t="s">
        <v>16</v>
      </c>
      <c t="s">
        <v>6276</v>
      </c>
      <c t="s">
        <v>6277</v>
      </c>
      <c t="s">
        <v>6276</v>
      </c>
      <c t="s">
        <v>6277</v>
      </c>
      <c t="s">
        <v>5115</v>
      </c>
      <c t="s">
        <v>6298</v>
      </c>
    </row>
    <row r="427" spans="1:7" ht="11.25" customHeight="1">
      <c r="A427" s="376" t="s">
        <v>16</v>
      </c>
      <c t="s">
        <v>6276</v>
      </c>
      <c t="s">
        <v>6277</v>
      </c>
      <c t="s">
        <v>6299</v>
      </c>
      <c t="s">
        <v>6300</v>
      </c>
      <c t="s">
        <v>5124</v>
      </c>
      <c t="s">
        <v>6301</v>
      </c>
    </row>
  </sheetData>
  <sheetProtection insertRows="0" deleteColumns="0" deleteRows="0" sort="0" autoFilter="0"/>
  <pageMargins left="0.7" right="0.7" top="0.75" bottom="0.75" header="0.3" footer="0.3"/>
  <pageSetup orientation="portrait" paperSize="9"/>
</worksheet>
</file>

<file path=xl/worksheets/sheet7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m="http://schemas.microsoft.com/office/excel/2006/main" xmlns:x14ac="http://schemas.microsoft.com/office/spreadsheetml/2009/9/ac" xmlns:xr="http://schemas.microsoft.com/office/spreadsheetml/2014/revision" xmlns:xr2="http://schemas.microsoft.com/office/spreadsheetml/2015/revision2" xmlns:xr3="http://schemas.microsoft.com/office/spreadsheetml/2016/revision3" xr:uid="{8EDD6712-3F1F-8FD6-8A89-65DBCBE8EAD9}" mc:Ignorable="x14ac xr xr2 xr3">
  <sheetPr>
    <tabColor rgb="FFFFCC99"/>
  </sheetPr>
  <dimension ref="A1:I6"/>
  <sheetViews>
    <sheetView showGridLines="0" workbookViewId="0" topLeftCell="A1">
      <selection pane="topLeft" activeCell="A1" sqref="A1"/>
    </sheetView>
  </sheetViews>
  <sheetFormatPr defaultColWidth="9.14428571428571" defaultRowHeight="11.25" customHeight="1"/>
  <cols>
    <col min="1" max="1" width="13.8571428571429" style="1694" customWidth="1"/>
    <col min="2" max="2" width="10.4285714285714" style="1694" customWidth="1"/>
    <col min="3" max="3" width="7.57142857142857" style="1694" customWidth="1"/>
    <col min="4" max="4" width="13.8571428571429" style="1694" customWidth="1"/>
    <col min="5" max="5" width="11.5714285714286" style="1694" customWidth="1"/>
    <col min="6" max="6" width="16.2857142857143" style="1694" customWidth="1"/>
    <col min="7" max="7" width="16" style="1694" customWidth="1"/>
    <col min="8" max="9" width="16.1428571428571" style="1694" customWidth="1"/>
  </cols>
  <sheetData>
    <row r="1" spans="1:9" ht="11.25" customHeight="1">
      <c r="A1" s="838" t="s">
        <v>6302</v>
      </c>
      <c s="838" t="s">
        <v>6303</v>
      </c>
      <c s="1162" t="s">
        <v>6304</v>
      </c>
      <c s="838" t="s">
        <v>6305</v>
      </c>
      <c s="838" t="s">
        <v>6306</v>
      </c>
      <c s="1162" t="s">
        <v>6307</v>
      </c>
      <c s="1162" t="s">
        <v>6308</v>
      </c>
      <c s="1162" t="s">
        <v>6309</v>
      </c>
      <c s="1162" t="s">
        <v>6310</v>
      </c>
    </row>
    <row r="2" spans="1:9" ht="11.25" customHeight="1">
      <c r="A2" s="1694" t="s">
        <v>109</v>
      </c>
      <c s="1694" t="s">
        <v>6311</v>
      </c>
      <c s="1694" t="s">
        <v>22</v>
      </c>
      <c s="1694" t="s">
        <v>6312</v>
      </c>
      <c s="1694" t="s">
        <v>6313</v>
      </c>
      <c s="1694" t="s">
        <v>22</v>
      </c>
      <c s="1694" t="s">
        <v>22</v>
      </c>
      <c s="1694" t="s">
        <v>22</v>
      </c>
      <c s="1694" t="s">
        <v>22</v>
      </c>
    </row>
    <row r="3" spans="1:9" ht="11.25" customHeight="1">
      <c r="A3" s="1694" t="s">
        <v>110</v>
      </c>
      <c s="1694" t="s">
        <v>6314</v>
      </c>
      <c s="1694" t="s">
        <v>22</v>
      </c>
      <c s="1694" t="s">
        <v>6315</v>
      </c>
      <c s="1694" t="s">
        <v>6316</v>
      </c>
      <c s="1694" t="s">
        <v>22</v>
      </c>
      <c s="1694" t="s">
        <v>22</v>
      </c>
      <c s="1694" t="s">
        <v>22</v>
      </c>
      <c s="1694" t="s">
        <v>22</v>
      </c>
    </row>
    <row r="4" spans="1:9" ht="11.25" customHeight="1">
      <c r="A4" s="1694" t="s">
        <v>89</v>
      </c>
      <c s="1694" t="s">
        <v>6317</v>
      </c>
      <c s="1694" t="s">
        <v>22</v>
      </c>
      <c s="1694" t="s">
        <v>6318</v>
      </c>
      <c s="1694" t="s">
        <v>6319</v>
      </c>
      <c s="1694" t="s">
        <v>22</v>
      </c>
      <c s="1694" t="s">
        <v>22</v>
      </c>
      <c s="1694" t="s">
        <v>22</v>
      </c>
      <c s="1694" t="s">
        <v>22</v>
      </c>
    </row>
    <row r="5" spans="1:9" ht="11.25" customHeight="1">
      <c r="A5" s="1694" t="s">
        <v>90</v>
      </c>
      <c s="1694" t="s">
        <v>6320</v>
      </c>
      <c s="1694" t="s">
        <v>22</v>
      </c>
      <c s="1694" t="s">
        <v>6312</v>
      </c>
      <c s="1694" t="s">
        <v>6321</v>
      </c>
      <c s="1694" t="s">
        <v>22</v>
      </c>
      <c s="1694" t="s">
        <v>22</v>
      </c>
      <c s="1694" t="s">
        <v>22</v>
      </c>
      <c s="1694" t="s">
        <v>22</v>
      </c>
    </row>
    <row r="6" spans="1:9" ht="11.25" customHeight="1">
      <c r="A6" s="1694" t="s">
        <v>111</v>
      </c>
      <c s="1694" t="s">
        <v>6322</v>
      </c>
      <c s="1694" t="s">
        <v>22</v>
      </c>
      <c s="1694" t="s">
        <v>6323</v>
      </c>
      <c s="1694" t="s">
        <v>6316</v>
      </c>
      <c s="1694" t="s">
        <v>22</v>
      </c>
      <c s="1694" t="s">
        <v>22</v>
      </c>
      <c s="1694" t="s">
        <v>22</v>
      </c>
      <c s="1694" t="s">
        <v>22</v>
      </c>
    </row>
  </sheetData>
  <sheetProtection insertRows="0" deleteColumns="0" deleteRows="0" sort="0" autoFilter="0"/>
  <pageMargins left="0.7" right="0.7" top="0.75" bottom="0.75" header="0.3" footer="0.3"/>
  <pageSetup orientation="portrait"/>
</worksheet>
</file>

<file path=xl/worksheets/sheet7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m="http://schemas.microsoft.com/office/excel/2006/main" xmlns:x14ac="http://schemas.microsoft.com/office/spreadsheetml/2009/9/ac" xmlns:xr="http://schemas.microsoft.com/office/spreadsheetml/2014/revision" xmlns:xr2="http://schemas.microsoft.com/office/spreadsheetml/2015/revision2" xmlns:xr3="http://schemas.microsoft.com/office/spreadsheetml/2016/revision3" xr:uid="{7C50CC12-8C85-E8B5-F10C-F49EF9BFAFAC}" mc:Ignorable="x14ac xr xr2 xr3">
  <sheetPr>
    <tabColor rgb="FFFFCC99"/>
  </sheetPr>
  <dimension ref="A1"/>
  <sheetViews>
    <sheetView workbookViewId="0" topLeftCell="A1">
      <selection pane="topLeft" activeCell="A1" sqref="A1"/>
    </sheetView>
  </sheetViews>
  <sheetFormatPr defaultRowHeight="11.25" customHeight="1"/>
  <sheetData/>
  <sheetProtection insertRows="0" deleteColumns="0" deleteRows="0" sort="0" autoFilter="0"/>
  <pageMargins left="0.7" right="0.7" top="0.75" bottom="0.75" header="0.3" footer="0.3"/>
  <pageSetup orientation="portrait"/>
</worksheet>
</file>

<file path=xl/worksheets/sheet8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m="http://schemas.microsoft.com/office/excel/2006/main" xmlns:x14ac="http://schemas.microsoft.com/office/spreadsheetml/2009/9/ac" xmlns:xr="http://schemas.microsoft.com/office/spreadsheetml/2014/revision" xmlns:xr2="http://schemas.microsoft.com/office/spreadsheetml/2015/revision2" xmlns:xr3="http://schemas.microsoft.com/office/spreadsheetml/2016/revision3" xr:uid="{CF1B607B-B1D7-27F6-98C3-52F6F913E766}" mc:Ignorable="x14ac xr xr2 xr3">
  <sheetPr>
    <tabColor rgb="FFFFCC99"/>
  </sheetPr>
  <dimension ref="A1:B2"/>
  <sheetViews>
    <sheetView showGridLines="0" workbookViewId="0" topLeftCell="A1">
      <selection pane="topLeft" activeCell="A1" sqref="A1"/>
    </sheetView>
  </sheetViews>
  <sheetFormatPr defaultColWidth="9.14428571428571" defaultRowHeight="11.25" customHeight="1"/>
  <cols>
    <col min="1" max="2" width="9.14285714285714" style="186"/>
  </cols>
  <sheetData>
    <row r="1" spans="1:2" ht="11.25" customHeight="1">
      <c r="A1" s="186" t="s">
        <v>132</v>
      </c>
      <c s="186" t="s">
        <v>6324</v>
      </c>
    </row>
    <row r="2" spans="1:2" ht="11.25" customHeight="1">
      <c r="A2" s="186" t="s">
        <v>97</v>
      </c>
      <c s="186" t="s">
        <v>6325</v>
      </c>
    </row>
  </sheetData>
  <sheetProtection insertRows="0" deleteColumns="0" deleteRows="0" sort="0" autoFilter="0"/>
  <pageMargins left="0.7" right="0.7" top="0.75" bottom="0.75" header="0.3" footer="0.3"/>
  <pageSetup orientation="portrait"/>
</worksheet>
</file>

<file path=xl/worksheets/sheet8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m="http://schemas.microsoft.com/office/excel/2006/main" xmlns:x14ac="http://schemas.microsoft.com/office/spreadsheetml/2009/9/ac" xmlns:xr="http://schemas.microsoft.com/office/spreadsheetml/2014/revision" xmlns:xr2="http://schemas.microsoft.com/office/spreadsheetml/2015/revision2" xmlns:xr3="http://schemas.microsoft.com/office/spreadsheetml/2016/revision3" xr:uid="{FB8BF50B-8135-2FAF-5925-9EC3B5F5B93B}" mc:Ignorable="x14ac xr xr2 xr3">
  <sheetPr>
    <tabColor rgb="FFFFCC99"/>
  </sheetPr>
  <dimension ref="A1:B11"/>
  <sheetViews>
    <sheetView showGridLines="0" workbookViewId="0" topLeftCell="A1">
      <selection pane="topLeft" activeCell="A1" sqref="A1"/>
    </sheetView>
  </sheetViews>
  <sheetFormatPr defaultColWidth="9.14428571428571" defaultRowHeight="11.25" customHeight="1"/>
  <cols>
    <col min="1" max="1" width="9.14285714285714" style="1694"/>
    <col min="2" max="2" width="65.2857142857143" style="1694" customWidth="1"/>
  </cols>
  <sheetData>
    <row r="1" spans="1:2" ht="11.25" customHeight="1">
      <c r="A1" s="838" t="s">
        <v>6326</v>
      </c>
      <c s="838" t="s">
        <v>6327</v>
      </c>
    </row>
    <row r="2" spans="1:2" ht="11.25" customHeight="1">
      <c r="A2" s="838">
        <v>4213775</v>
      </c>
      <c s="838" t="s">
        <v>1220</v>
      </c>
    </row>
    <row r="3" spans="1:2" ht="11.25" customHeight="1">
      <c r="A3" s="838">
        <v>4213784</v>
      </c>
      <c s="838" t="s">
        <v>1254</v>
      </c>
    </row>
    <row r="4" spans="1:2" ht="11.25" customHeight="1">
      <c r="A4" s="838">
        <v>4213781</v>
      </c>
      <c s="838" t="s">
        <v>1247</v>
      </c>
    </row>
    <row r="5" spans="1:2" ht="11.25" customHeight="1">
      <c r="A5" s="838">
        <v>4213776</v>
      </c>
      <c s="838" t="s">
        <v>168</v>
      </c>
    </row>
    <row r="6" spans="1:2" ht="11.25" customHeight="1">
      <c r="A6" s="838">
        <v>4213777</v>
      </c>
      <c s="838" t="s">
        <v>174</v>
      </c>
    </row>
    <row r="7" spans="1:2" ht="11.25" customHeight="1">
      <c r="A7" s="838">
        <v>4213778</v>
      </c>
      <c s="838" t="s">
        <v>180</v>
      </c>
    </row>
    <row r="8" spans="1:2" ht="11.25" customHeight="1">
      <c r="A8" s="838">
        <v>4213780</v>
      </c>
      <c s="838" t="s">
        <v>186</v>
      </c>
    </row>
    <row r="9" spans="1:2" ht="11.25" customHeight="1">
      <c r="A9" s="838">
        <v>4213779</v>
      </c>
      <c s="838" t="s">
        <v>1388</v>
      </c>
    </row>
    <row r="10" spans="1:2" ht="11.25" customHeight="1">
      <c r="A10" s="838">
        <v>4213783</v>
      </c>
      <c s="838" t="s">
        <v>1403</v>
      </c>
    </row>
    <row r="11" spans="1:2" ht="11.25" customHeight="1">
      <c r="A11" s="838">
        <v>4213782</v>
      </c>
      <c s="838" t="s">
        <v>192</v>
      </c>
    </row>
  </sheetData>
  <sheetProtection insertRows="0" deleteColumns="0" deleteRows="0" sort="0" autoFilter="0"/>
  <pageMargins left="0.7" right="0.7" top="0.75" bottom="0.75" header="0.3" footer="0.3"/>
  <pageSetup orientation="portrait"/>
</worksheet>
</file>

<file path=xl/worksheets/sheet8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m="http://schemas.microsoft.com/office/excel/2006/main" xmlns:x14ac="http://schemas.microsoft.com/office/spreadsheetml/2009/9/ac" xmlns:xr="http://schemas.microsoft.com/office/spreadsheetml/2014/revision" xmlns:xr2="http://schemas.microsoft.com/office/spreadsheetml/2015/revision2" xmlns:xr3="http://schemas.microsoft.com/office/spreadsheetml/2016/revision3" xr:uid="{F6ADF988-1535-C592-C86B-0F81F6737FD3}" mc:Ignorable="x14ac xr xr2 xr3">
  <sheetPr>
    <tabColor rgb="FFFFCC99"/>
  </sheetPr>
  <dimension ref="A1:B4"/>
  <sheetViews>
    <sheetView showGridLines="0" workbookViewId="0" topLeftCell="A1">
      <selection pane="topLeft" activeCell="A1" sqref="A1"/>
    </sheetView>
  </sheetViews>
  <sheetFormatPr defaultColWidth="9.14428571428571" defaultRowHeight="11.25" customHeight="1"/>
  <cols>
    <col min="1" max="1" width="9.14285714285714" style="1694"/>
    <col min="2" max="2" width="65.2857142857143" style="1694" customWidth="1"/>
  </cols>
  <sheetData>
    <row r="1" spans="1:2" ht="11.25" customHeight="1">
      <c r="A1" s="838" t="s">
        <v>6326</v>
      </c>
      <c s="838" t="s">
        <v>6328</v>
      </c>
    </row>
    <row r="2" spans="1:2" ht="11.25" customHeight="1">
      <c r="A2" s="838" t="s">
        <v>6329</v>
      </c>
      <c s="838" t="s">
        <v>1504</v>
      </c>
    </row>
    <row r="3" spans="1:2" ht="11.25" customHeight="1">
      <c r="A3" s="838" t="s">
        <v>6330</v>
      </c>
      <c s="838" t="s">
        <v>1513</v>
      </c>
    </row>
    <row r="4" spans="1:2" ht="11.25" customHeight="1">
      <c r="A4" s="838" t="s">
        <v>6331</v>
      </c>
      <c s="838" t="s">
        <v>1523</v>
      </c>
    </row>
  </sheetData>
  <sheetProtection insertRows="0" deleteColumns="0" deleteRows="0" sort="0" autoFilter="0"/>
  <pageMargins left="0.7" right="0.7" top="0.75" bottom="0.75" header="0.3" footer="0.3"/>
  <pageSetup orientation="portrait"/>
</worksheet>
</file>

<file path=xl/worksheets/sheet8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m="http://schemas.microsoft.com/office/excel/2006/main" xmlns:x14ac="http://schemas.microsoft.com/office/spreadsheetml/2009/9/ac" xmlns:xr="http://schemas.microsoft.com/office/spreadsheetml/2014/revision" xmlns:xr2="http://schemas.microsoft.com/office/spreadsheetml/2015/revision2" xmlns:xr3="http://schemas.microsoft.com/office/spreadsheetml/2016/revision3" xr:uid="{77510831-3E84-B3BF-9338-44B0FEC94BC5}" mc:Ignorable="x14ac xr xr2 xr3">
  <sheetPr>
    <tabColor rgb="FFFFCC99"/>
  </sheetPr>
  <dimension ref="A1:G427"/>
  <sheetViews>
    <sheetView showGridLines="0" workbookViewId="0" topLeftCell="A1">
      <selection pane="topLeft" activeCell="A1" sqref="A1"/>
    </sheetView>
  </sheetViews>
  <sheetFormatPr defaultRowHeight="11.25" customHeight="1"/>
  <sheetData>
    <row r="1" spans="1:7" ht="11.25" customHeight="1">
      <c r="A1" s="376" t="s">
        <v>5106</v>
      </c>
      <c s="376" t="s">
        <v>5107</v>
      </c>
      <c s="376" t="s">
        <v>5108</v>
      </c>
      <c s="376" t="s">
        <v>5109</v>
      </c>
      <c t="s">
        <v>5110</v>
      </c>
      <c t="s">
        <v>5111</v>
      </c>
      <c t="s">
        <v>5112</v>
      </c>
    </row>
    <row r="2" spans="1:7" ht="11.25" customHeight="1">
      <c r="A2" t="s">
        <v>16</v>
      </c>
      <c t="s">
        <v>5113</v>
      </c>
      <c t="s">
        <v>5114</v>
      </c>
      <c t="s">
        <v>5113</v>
      </c>
      <c t="s">
        <v>5114</v>
      </c>
      <c t="s">
        <v>5115</v>
      </c>
      <c t="s">
        <v>109</v>
      </c>
    </row>
    <row r="3" spans="1:7" ht="11.25" customHeight="1">
      <c r="A3" t="s">
        <v>16</v>
      </c>
      <c t="s">
        <v>5113</v>
      </c>
      <c t="s">
        <v>5114</v>
      </c>
      <c t="s">
        <v>5116</v>
      </c>
      <c t="s">
        <v>5117</v>
      </c>
      <c t="s">
        <v>5118</v>
      </c>
      <c t="s">
        <v>110</v>
      </c>
    </row>
    <row r="4" spans="1:7" ht="11.25" customHeight="1">
      <c r="A4" t="s">
        <v>16</v>
      </c>
      <c t="s">
        <v>5113</v>
      </c>
      <c t="s">
        <v>5114</v>
      </c>
      <c t="s">
        <v>5119</v>
      </c>
      <c t="s">
        <v>5120</v>
      </c>
      <c t="s">
        <v>5121</v>
      </c>
      <c t="s">
        <v>89</v>
      </c>
    </row>
    <row r="5" spans="1:7" ht="11.25" customHeight="1">
      <c r="A5" t="s">
        <v>16</v>
      </c>
      <c t="s">
        <v>5113</v>
      </c>
      <c t="s">
        <v>5114</v>
      </c>
      <c t="s">
        <v>5122</v>
      </c>
      <c t="s">
        <v>5123</v>
      </c>
      <c t="s">
        <v>5124</v>
      </c>
      <c t="s">
        <v>90</v>
      </c>
    </row>
    <row r="6" spans="1:7" ht="11.25" customHeight="1">
      <c r="A6" t="s">
        <v>16</v>
      </c>
      <c t="s">
        <v>5113</v>
      </c>
      <c t="s">
        <v>5114</v>
      </c>
      <c t="s">
        <v>5125</v>
      </c>
      <c t="s">
        <v>5126</v>
      </c>
      <c t="s">
        <v>5124</v>
      </c>
      <c t="s">
        <v>111</v>
      </c>
    </row>
    <row r="7" spans="1:7" ht="11.25" customHeight="1">
      <c r="A7" t="s">
        <v>16</v>
      </c>
      <c t="s">
        <v>5113</v>
      </c>
      <c t="s">
        <v>5114</v>
      </c>
      <c t="s">
        <v>5127</v>
      </c>
      <c t="s">
        <v>5128</v>
      </c>
      <c t="s">
        <v>5124</v>
      </c>
      <c t="s">
        <v>91</v>
      </c>
    </row>
    <row r="8" spans="1:7" ht="11.25" customHeight="1">
      <c r="A8" t="s">
        <v>16</v>
      </c>
      <c t="s">
        <v>5113</v>
      </c>
      <c t="s">
        <v>5114</v>
      </c>
      <c t="s">
        <v>5129</v>
      </c>
      <c t="s">
        <v>5130</v>
      </c>
      <c t="s">
        <v>5124</v>
      </c>
      <c t="s">
        <v>92</v>
      </c>
    </row>
    <row r="9" spans="1:7" ht="11.25" customHeight="1">
      <c r="A9" t="s">
        <v>16</v>
      </c>
      <c t="s">
        <v>5113</v>
      </c>
      <c t="s">
        <v>5114</v>
      </c>
      <c t="s">
        <v>5131</v>
      </c>
      <c t="s">
        <v>5132</v>
      </c>
      <c t="s">
        <v>5124</v>
      </c>
      <c t="s">
        <v>112</v>
      </c>
    </row>
    <row r="10" spans="1:7" ht="11.25" customHeight="1">
      <c r="A10" t="s">
        <v>16</v>
      </c>
      <c t="s">
        <v>5113</v>
      </c>
      <c t="s">
        <v>5114</v>
      </c>
      <c t="s">
        <v>5133</v>
      </c>
      <c t="s">
        <v>5134</v>
      </c>
      <c t="s">
        <v>5124</v>
      </c>
      <c t="s">
        <v>150</v>
      </c>
    </row>
    <row r="11" spans="1:7" ht="11.25" customHeight="1">
      <c r="A11" t="s">
        <v>16</v>
      </c>
      <c t="s">
        <v>5135</v>
      </c>
      <c t="s">
        <v>5136</v>
      </c>
      <c t="s">
        <v>5135</v>
      </c>
      <c t="s">
        <v>5136</v>
      </c>
      <c t="s">
        <v>5115</v>
      </c>
      <c t="s">
        <v>151</v>
      </c>
    </row>
    <row r="12" spans="1:7" ht="11.25" customHeight="1">
      <c r="A12" t="s">
        <v>16</v>
      </c>
      <c t="s">
        <v>5135</v>
      </c>
      <c t="s">
        <v>5136</v>
      </c>
      <c t="s">
        <v>5137</v>
      </c>
      <c t="s">
        <v>5138</v>
      </c>
      <c t="s">
        <v>5118</v>
      </c>
      <c t="s">
        <v>152</v>
      </c>
    </row>
    <row r="13" spans="1:7" ht="11.25" customHeight="1">
      <c r="A13" t="s">
        <v>16</v>
      </c>
      <c t="s">
        <v>5135</v>
      </c>
      <c t="s">
        <v>5136</v>
      </c>
      <c t="s">
        <v>5139</v>
      </c>
      <c t="s">
        <v>5140</v>
      </c>
      <c t="s">
        <v>5124</v>
      </c>
      <c t="s">
        <v>153</v>
      </c>
    </row>
    <row r="14" spans="1:7" ht="11.25" customHeight="1">
      <c r="A14" t="s">
        <v>16</v>
      </c>
      <c t="s">
        <v>5135</v>
      </c>
      <c t="s">
        <v>5136</v>
      </c>
      <c t="s">
        <v>5141</v>
      </c>
      <c t="s">
        <v>5142</v>
      </c>
      <c t="s">
        <v>5124</v>
      </c>
      <c t="s">
        <v>154</v>
      </c>
    </row>
    <row r="15" spans="1:7" ht="11.25" customHeight="1">
      <c r="A15" t="s">
        <v>16</v>
      </c>
      <c t="s">
        <v>5135</v>
      </c>
      <c t="s">
        <v>5136</v>
      </c>
      <c t="s">
        <v>5143</v>
      </c>
      <c t="s">
        <v>5144</v>
      </c>
      <c t="s">
        <v>5124</v>
      </c>
      <c t="s">
        <v>155</v>
      </c>
    </row>
    <row r="16" spans="1:7" ht="11.25" customHeight="1">
      <c r="A16" t="s">
        <v>16</v>
      </c>
      <c t="s">
        <v>5135</v>
      </c>
      <c t="s">
        <v>5136</v>
      </c>
      <c t="s">
        <v>5145</v>
      </c>
      <c t="s">
        <v>5146</v>
      </c>
      <c t="s">
        <v>5124</v>
      </c>
      <c t="s">
        <v>1463</v>
      </c>
    </row>
    <row r="17" spans="1:7" ht="11.25" customHeight="1">
      <c r="A17" t="s">
        <v>16</v>
      </c>
      <c t="s">
        <v>5135</v>
      </c>
      <c t="s">
        <v>5136</v>
      </c>
      <c t="s">
        <v>5147</v>
      </c>
      <c t="s">
        <v>5148</v>
      </c>
      <c t="s">
        <v>5121</v>
      </c>
      <c t="s">
        <v>1469</v>
      </c>
    </row>
    <row r="18" spans="1:7" ht="11.25" customHeight="1">
      <c r="A18" t="s">
        <v>16</v>
      </c>
      <c t="s">
        <v>5135</v>
      </c>
      <c t="s">
        <v>5136</v>
      </c>
      <c t="s">
        <v>5149</v>
      </c>
      <c t="s">
        <v>5150</v>
      </c>
      <c t="s">
        <v>5124</v>
      </c>
      <c t="s">
        <v>1481</v>
      </c>
    </row>
    <row r="19" spans="1:7" ht="11.25" customHeight="1">
      <c r="A19" t="s">
        <v>16</v>
      </c>
      <c t="s">
        <v>5135</v>
      </c>
      <c t="s">
        <v>5136</v>
      </c>
      <c t="s">
        <v>5151</v>
      </c>
      <c t="s">
        <v>5152</v>
      </c>
      <c t="s">
        <v>5124</v>
      </c>
      <c t="s">
        <v>1495</v>
      </c>
    </row>
    <row r="20" spans="1:7" ht="11.25" customHeight="1">
      <c r="A20" t="s">
        <v>16</v>
      </c>
      <c t="s">
        <v>5135</v>
      </c>
      <c t="s">
        <v>5136</v>
      </c>
      <c t="s">
        <v>5153</v>
      </c>
      <c t="s">
        <v>5154</v>
      </c>
      <c t="s">
        <v>5124</v>
      </c>
      <c t="s">
        <v>1507</v>
      </c>
    </row>
    <row r="21" spans="1:7" ht="11.25" customHeight="1">
      <c r="A21" t="s">
        <v>16</v>
      </c>
      <c t="s">
        <v>5135</v>
      </c>
      <c t="s">
        <v>5136</v>
      </c>
      <c t="s">
        <v>5155</v>
      </c>
      <c t="s">
        <v>5156</v>
      </c>
      <c t="s">
        <v>5124</v>
      </c>
      <c t="s">
        <v>1516</v>
      </c>
    </row>
    <row r="22" spans="1:7" ht="11.25" customHeight="1">
      <c r="A22" t="s">
        <v>16</v>
      </c>
      <c t="s">
        <v>5135</v>
      </c>
      <c t="s">
        <v>5136</v>
      </c>
      <c t="s">
        <v>5157</v>
      </c>
      <c t="s">
        <v>5158</v>
      </c>
      <c t="s">
        <v>5118</v>
      </c>
      <c t="s">
        <v>1532</v>
      </c>
    </row>
    <row r="23" spans="1:7" ht="11.25" customHeight="1">
      <c r="A23" t="s">
        <v>16</v>
      </c>
      <c t="s">
        <v>5135</v>
      </c>
      <c t="s">
        <v>5136</v>
      </c>
      <c t="s">
        <v>5159</v>
      </c>
      <c t="s">
        <v>5160</v>
      </c>
      <c t="s">
        <v>5124</v>
      </c>
      <c t="s">
        <v>1539</v>
      </c>
    </row>
    <row r="24" spans="1:7" ht="11.25" customHeight="1">
      <c r="A24" t="s">
        <v>16</v>
      </c>
      <c t="s">
        <v>5161</v>
      </c>
      <c t="s">
        <v>5162</v>
      </c>
      <c t="s">
        <v>5161</v>
      </c>
      <c t="s">
        <v>5162</v>
      </c>
      <c t="s">
        <v>5115</v>
      </c>
      <c t="s">
        <v>1547</v>
      </c>
    </row>
    <row r="25" spans="1:7" ht="11.25" customHeight="1">
      <c r="A25" t="s">
        <v>16</v>
      </c>
      <c t="s">
        <v>5161</v>
      </c>
      <c t="s">
        <v>5162</v>
      </c>
      <c t="s">
        <v>5163</v>
      </c>
      <c t="s">
        <v>5164</v>
      </c>
      <c t="s">
        <v>5124</v>
      </c>
      <c t="s">
        <v>1554</v>
      </c>
    </row>
    <row r="26" spans="1:7" ht="11.25" customHeight="1">
      <c r="A26" t="s">
        <v>16</v>
      </c>
      <c t="s">
        <v>5161</v>
      </c>
      <c t="s">
        <v>5162</v>
      </c>
      <c t="s">
        <v>5165</v>
      </c>
      <c t="s">
        <v>5166</v>
      </c>
      <c t="s">
        <v>5124</v>
      </c>
      <c t="s">
        <v>1558</v>
      </c>
    </row>
    <row r="27" spans="1:7" ht="11.25" customHeight="1">
      <c r="A27" t="s">
        <v>16</v>
      </c>
      <c t="s">
        <v>5161</v>
      </c>
      <c t="s">
        <v>5162</v>
      </c>
      <c t="s">
        <v>5167</v>
      </c>
      <c t="s">
        <v>5168</v>
      </c>
      <c t="s">
        <v>5124</v>
      </c>
      <c t="s">
        <v>1563</v>
      </c>
    </row>
    <row r="28" spans="1:7" ht="11.25" customHeight="1">
      <c r="A28" t="s">
        <v>16</v>
      </c>
      <c t="s">
        <v>5161</v>
      </c>
      <c t="s">
        <v>5162</v>
      </c>
      <c t="s">
        <v>5169</v>
      </c>
      <c t="s">
        <v>5170</v>
      </c>
      <c t="s">
        <v>5124</v>
      </c>
      <c t="s">
        <v>1571</v>
      </c>
    </row>
    <row r="29" spans="1:7" ht="11.25" customHeight="1">
      <c r="A29" t="s">
        <v>16</v>
      </c>
      <c t="s">
        <v>5171</v>
      </c>
      <c t="s">
        <v>5172</v>
      </c>
      <c t="s">
        <v>5171</v>
      </c>
      <c t="s">
        <v>5172</v>
      </c>
      <c t="s">
        <v>5115</v>
      </c>
      <c t="s">
        <v>1572</v>
      </c>
    </row>
    <row r="30" spans="1:7" ht="11.25" customHeight="1">
      <c r="A30" t="s">
        <v>16</v>
      </c>
      <c t="s">
        <v>5171</v>
      </c>
      <c t="s">
        <v>5172</v>
      </c>
      <c t="s">
        <v>5173</v>
      </c>
      <c t="s">
        <v>5174</v>
      </c>
      <c t="s">
        <v>5118</v>
      </c>
      <c t="s">
        <v>1575</v>
      </c>
    </row>
    <row r="31" spans="1:7" ht="11.25" customHeight="1">
      <c r="A31" t="s">
        <v>16</v>
      </c>
      <c t="s">
        <v>5171</v>
      </c>
      <c t="s">
        <v>5172</v>
      </c>
      <c t="s">
        <v>5175</v>
      </c>
      <c t="s">
        <v>5176</v>
      </c>
      <c t="s">
        <v>5124</v>
      </c>
      <c t="s">
        <v>1581</v>
      </c>
    </row>
    <row r="32" spans="1:7" ht="11.25" customHeight="1">
      <c r="A32" t="s">
        <v>16</v>
      </c>
      <c t="s">
        <v>5171</v>
      </c>
      <c t="s">
        <v>5172</v>
      </c>
      <c t="s">
        <v>5177</v>
      </c>
      <c t="s">
        <v>5178</v>
      </c>
      <c t="s">
        <v>5124</v>
      </c>
      <c t="s">
        <v>1583</v>
      </c>
    </row>
    <row r="33" spans="1:7" ht="11.25" customHeight="1">
      <c r="A33" t="s">
        <v>16</v>
      </c>
      <c t="s">
        <v>5171</v>
      </c>
      <c t="s">
        <v>5172</v>
      </c>
      <c t="s">
        <v>5179</v>
      </c>
      <c t="s">
        <v>5180</v>
      </c>
      <c t="s">
        <v>5124</v>
      </c>
      <c t="s">
        <v>1585</v>
      </c>
    </row>
    <row r="34" spans="1:7" ht="11.25" customHeight="1">
      <c r="A34" t="s">
        <v>16</v>
      </c>
      <c t="s">
        <v>5171</v>
      </c>
      <c t="s">
        <v>5172</v>
      </c>
      <c t="s">
        <v>5181</v>
      </c>
      <c t="s">
        <v>5182</v>
      </c>
      <c t="s">
        <v>5124</v>
      </c>
      <c t="s">
        <v>1587</v>
      </c>
    </row>
    <row r="35" spans="1:7" ht="11.25" customHeight="1">
      <c r="A35" t="s">
        <v>16</v>
      </c>
      <c t="s">
        <v>5171</v>
      </c>
      <c t="s">
        <v>5172</v>
      </c>
      <c t="s">
        <v>5183</v>
      </c>
      <c t="s">
        <v>5184</v>
      </c>
      <c t="s">
        <v>5124</v>
      </c>
      <c t="s">
        <v>1592</v>
      </c>
    </row>
    <row r="36" spans="1:7" ht="11.25" customHeight="1">
      <c r="A36" t="s">
        <v>16</v>
      </c>
      <c t="s">
        <v>5171</v>
      </c>
      <c t="s">
        <v>5172</v>
      </c>
      <c t="s">
        <v>5185</v>
      </c>
      <c t="s">
        <v>5186</v>
      </c>
      <c t="s">
        <v>5124</v>
      </c>
      <c t="s">
        <v>1597</v>
      </c>
    </row>
    <row r="37" spans="1:7" ht="11.25" customHeight="1">
      <c r="A37" t="s">
        <v>16</v>
      </c>
      <c t="s">
        <v>5171</v>
      </c>
      <c t="s">
        <v>5172</v>
      </c>
      <c t="s">
        <v>5187</v>
      </c>
      <c t="s">
        <v>5188</v>
      </c>
      <c t="s">
        <v>5124</v>
      </c>
      <c t="s">
        <v>1601</v>
      </c>
    </row>
    <row r="38" spans="1:7" ht="11.25" customHeight="1">
      <c r="A38" t="s">
        <v>16</v>
      </c>
      <c t="s">
        <v>5171</v>
      </c>
      <c t="s">
        <v>5172</v>
      </c>
      <c t="s">
        <v>5159</v>
      </c>
      <c t="s">
        <v>5189</v>
      </c>
      <c t="s">
        <v>5124</v>
      </c>
      <c t="s">
        <v>1609</v>
      </c>
    </row>
    <row r="39" spans="1:7" ht="11.25" customHeight="1">
      <c r="A39" t="s">
        <v>16</v>
      </c>
      <c t="s">
        <v>5171</v>
      </c>
      <c t="s">
        <v>5172</v>
      </c>
      <c t="s">
        <v>5190</v>
      </c>
      <c t="s">
        <v>5191</v>
      </c>
      <c t="s">
        <v>5124</v>
      </c>
      <c t="s">
        <v>1615</v>
      </c>
    </row>
    <row r="40" spans="1:7" ht="11.25" customHeight="1">
      <c r="A40" t="s">
        <v>16</v>
      </c>
      <c t="s">
        <v>5171</v>
      </c>
      <c t="s">
        <v>5172</v>
      </c>
      <c t="s">
        <v>5192</v>
      </c>
      <c t="s">
        <v>5193</v>
      </c>
      <c t="s">
        <v>5124</v>
      </c>
      <c t="s">
        <v>1620</v>
      </c>
    </row>
    <row r="41" spans="1:7" ht="11.25" customHeight="1">
      <c r="A41" t="s">
        <v>16</v>
      </c>
      <c t="s">
        <v>5194</v>
      </c>
      <c t="s">
        <v>5195</v>
      </c>
      <c t="s">
        <v>5196</v>
      </c>
      <c t="s">
        <v>5197</v>
      </c>
      <c t="s">
        <v>5124</v>
      </c>
      <c t="s">
        <v>1624</v>
      </c>
    </row>
    <row r="42" spans="1:7" ht="11.25" customHeight="1">
      <c r="A42" t="s">
        <v>16</v>
      </c>
      <c t="s">
        <v>5194</v>
      </c>
      <c t="s">
        <v>5195</v>
      </c>
      <c t="s">
        <v>5198</v>
      </c>
      <c t="s">
        <v>5199</v>
      </c>
      <c t="s">
        <v>5124</v>
      </c>
      <c t="s">
        <v>1627</v>
      </c>
    </row>
    <row r="43" spans="1:7" ht="11.25" customHeight="1">
      <c r="A43" t="s">
        <v>16</v>
      </c>
      <c t="s">
        <v>5194</v>
      </c>
      <c t="s">
        <v>5195</v>
      </c>
      <c t="s">
        <v>5194</v>
      </c>
      <c t="s">
        <v>5195</v>
      </c>
      <c t="s">
        <v>5115</v>
      </c>
      <c t="s">
        <v>1634</v>
      </c>
    </row>
    <row r="44" spans="1:7" ht="11.25" customHeight="1">
      <c r="A44" t="s">
        <v>16</v>
      </c>
      <c t="s">
        <v>5194</v>
      </c>
      <c t="s">
        <v>5195</v>
      </c>
      <c t="s">
        <v>5200</v>
      </c>
      <c t="s">
        <v>5201</v>
      </c>
      <c t="s">
        <v>5124</v>
      </c>
      <c t="s">
        <v>1643</v>
      </c>
    </row>
    <row r="45" spans="1:7" ht="11.25" customHeight="1">
      <c r="A45" t="s">
        <v>16</v>
      </c>
      <c t="s">
        <v>5194</v>
      </c>
      <c t="s">
        <v>5195</v>
      </c>
      <c t="s">
        <v>5202</v>
      </c>
      <c t="s">
        <v>5203</v>
      </c>
      <c t="s">
        <v>5124</v>
      </c>
      <c t="s">
        <v>1648</v>
      </c>
    </row>
    <row r="46" spans="1:7" ht="11.25" customHeight="1">
      <c r="A46" t="s">
        <v>16</v>
      </c>
      <c t="s">
        <v>5194</v>
      </c>
      <c t="s">
        <v>5195</v>
      </c>
      <c t="s">
        <v>5204</v>
      </c>
      <c t="s">
        <v>5205</v>
      </c>
      <c t="s">
        <v>5124</v>
      </c>
      <c t="s">
        <v>1651</v>
      </c>
    </row>
    <row r="47" spans="1:7" ht="11.25" customHeight="1">
      <c r="A47" t="s">
        <v>16</v>
      </c>
      <c t="s">
        <v>5194</v>
      </c>
      <c t="s">
        <v>5195</v>
      </c>
      <c t="s">
        <v>5206</v>
      </c>
      <c t="s">
        <v>5207</v>
      </c>
      <c t="s">
        <v>5124</v>
      </c>
      <c t="s">
        <v>1657</v>
      </c>
    </row>
    <row r="48" spans="1:7" ht="11.25" customHeight="1">
      <c r="A48" t="s">
        <v>16</v>
      </c>
      <c t="s">
        <v>5194</v>
      </c>
      <c t="s">
        <v>5195</v>
      </c>
      <c t="s">
        <v>5208</v>
      </c>
      <c t="s">
        <v>5209</v>
      </c>
      <c t="s">
        <v>5124</v>
      </c>
      <c t="s">
        <v>1662</v>
      </c>
    </row>
    <row r="49" spans="1:7" ht="11.25" customHeight="1">
      <c r="A49" t="s">
        <v>16</v>
      </c>
      <c t="s">
        <v>5194</v>
      </c>
      <c t="s">
        <v>5195</v>
      </c>
      <c t="s">
        <v>5210</v>
      </c>
      <c t="s">
        <v>5211</v>
      </c>
      <c t="s">
        <v>5124</v>
      </c>
      <c t="s">
        <v>1665</v>
      </c>
    </row>
    <row r="50" spans="1:7" ht="11.25" customHeight="1">
      <c r="A50" t="s">
        <v>16</v>
      </c>
      <c t="s">
        <v>5212</v>
      </c>
      <c t="s">
        <v>5213</v>
      </c>
      <c t="s">
        <v>5214</v>
      </c>
      <c t="s">
        <v>5215</v>
      </c>
      <c t="s">
        <v>5124</v>
      </c>
      <c t="s">
        <v>1669</v>
      </c>
    </row>
    <row r="51" spans="1:7" ht="11.25" customHeight="1">
      <c r="A51" t="s">
        <v>16</v>
      </c>
      <c t="s">
        <v>5212</v>
      </c>
      <c t="s">
        <v>5213</v>
      </c>
      <c t="s">
        <v>5216</v>
      </c>
      <c t="s">
        <v>5217</v>
      </c>
      <c t="s">
        <v>5124</v>
      </c>
      <c t="s">
        <v>1674</v>
      </c>
    </row>
    <row r="52" spans="1:7" ht="11.25" customHeight="1">
      <c r="A52" t="s">
        <v>16</v>
      </c>
      <c t="s">
        <v>5212</v>
      </c>
      <c t="s">
        <v>5213</v>
      </c>
      <c t="s">
        <v>5218</v>
      </c>
      <c t="s">
        <v>5219</v>
      </c>
      <c t="s">
        <v>5124</v>
      </c>
      <c t="s">
        <v>1678</v>
      </c>
    </row>
    <row r="53" spans="1:7" ht="11.25" customHeight="1">
      <c r="A53" t="s">
        <v>16</v>
      </c>
      <c t="s">
        <v>5212</v>
      </c>
      <c t="s">
        <v>5213</v>
      </c>
      <c t="s">
        <v>5220</v>
      </c>
      <c t="s">
        <v>5221</v>
      </c>
      <c t="s">
        <v>5124</v>
      </c>
      <c t="s">
        <v>1680</v>
      </c>
    </row>
    <row r="54" spans="1:7" ht="11.25" customHeight="1">
      <c r="A54" t="s">
        <v>16</v>
      </c>
      <c t="s">
        <v>5212</v>
      </c>
      <c t="s">
        <v>5213</v>
      </c>
      <c t="s">
        <v>5212</v>
      </c>
      <c t="s">
        <v>5213</v>
      </c>
      <c t="s">
        <v>5115</v>
      </c>
      <c t="s">
        <v>1683</v>
      </c>
    </row>
    <row r="55" spans="1:7" ht="11.25" customHeight="1">
      <c r="A55" t="s">
        <v>16</v>
      </c>
      <c t="s">
        <v>5212</v>
      </c>
      <c t="s">
        <v>5213</v>
      </c>
      <c t="s">
        <v>5222</v>
      </c>
      <c t="s">
        <v>5223</v>
      </c>
      <c t="s">
        <v>5124</v>
      </c>
      <c t="s">
        <v>1687</v>
      </c>
    </row>
    <row r="56" spans="1:7" ht="11.25" customHeight="1">
      <c r="A56" t="s">
        <v>16</v>
      </c>
      <c t="s">
        <v>5212</v>
      </c>
      <c t="s">
        <v>5213</v>
      </c>
      <c t="s">
        <v>5224</v>
      </c>
      <c t="s">
        <v>5225</v>
      </c>
      <c t="s">
        <v>5124</v>
      </c>
      <c t="s">
        <v>1690</v>
      </c>
    </row>
    <row r="57" spans="1:7" ht="11.25" customHeight="1">
      <c r="A57" t="s">
        <v>16</v>
      </c>
      <c t="s">
        <v>5212</v>
      </c>
      <c t="s">
        <v>5213</v>
      </c>
      <c t="s">
        <v>5226</v>
      </c>
      <c t="s">
        <v>5227</v>
      </c>
      <c t="s">
        <v>5124</v>
      </c>
      <c t="s">
        <v>1693</v>
      </c>
    </row>
    <row r="58" spans="1:7" ht="11.25" customHeight="1">
      <c r="A58" t="s">
        <v>16</v>
      </c>
      <c t="s">
        <v>5212</v>
      </c>
      <c t="s">
        <v>5213</v>
      </c>
      <c t="s">
        <v>5228</v>
      </c>
      <c t="s">
        <v>5229</v>
      </c>
      <c t="s">
        <v>5124</v>
      </c>
      <c t="s">
        <v>1696</v>
      </c>
    </row>
    <row r="59" spans="1:7" ht="11.25" customHeight="1">
      <c r="A59" t="s">
        <v>16</v>
      </c>
      <c t="s">
        <v>5212</v>
      </c>
      <c t="s">
        <v>5213</v>
      </c>
      <c t="s">
        <v>5230</v>
      </c>
      <c t="s">
        <v>5231</v>
      </c>
      <c t="s">
        <v>5124</v>
      </c>
      <c t="s">
        <v>1700</v>
      </c>
    </row>
    <row r="60" spans="1:7" ht="11.25" customHeight="1">
      <c r="A60" t="s">
        <v>16</v>
      </c>
      <c t="s">
        <v>5212</v>
      </c>
      <c t="s">
        <v>5213</v>
      </c>
      <c t="s">
        <v>5232</v>
      </c>
      <c t="s">
        <v>5233</v>
      </c>
      <c t="s">
        <v>5124</v>
      </c>
      <c t="s">
        <v>1703</v>
      </c>
    </row>
    <row r="61" spans="1:7" ht="11.25" customHeight="1">
      <c r="A61" t="s">
        <v>16</v>
      </c>
      <c t="s">
        <v>5234</v>
      </c>
      <c t="s">
        <v>5235</v>
      </c>
      <c t="s">
        <v>5234</v>
      </c>
      <c t="s">
        <v>5235</v>
      </c>
      <c t="s">
        <v>5236</v>
      </c>
      <c t="s">
        <v>5237</v>
      </c>
    </row>
    <row r="62" spans="1:7" ht="11.25" customHeight="1">
      <c r="A62" t="s">
        <v>16</v>
      </c>
      <c t="s">
        <v>5238</v>
      </c>
      <c t="s">
        <v>5239</v>
      </c>
      <c t="s">
        <v>5238</v>
      </c>
      <c t="s">
        <v>5239</v>
      </c>
      <c t="s">
        <v>5236</v>
      </c>
      <c t="s">
        <v>5240</v>
      </c>
    </row>
    <row r="63" spans="1:7" ht="11.25" customHeight="1">
      <c r="A63" t="s">
        <v>16</v>
      </c>
      <c t="s">
        <v>5241</v>
      </c>
      <c t="s">
        <v>5242</v>
      </c>
      <c t="s">
        <v>5241</v>
      </c>
      <c t="s">
        <v>5242</v>
      </c>
      <c t="s">
        <v>5236</v>
      </c>
      <c t="s">
        <v>5243</v>
      </c>
    </row>
    <row r="64" spans="1:7" ht="11.25" customHeight="1">
      <c r="A64" t="s">
        <v>16</v>
      </c>
      <c t="s">
        <v>5244</v>
      </c>
      <c t="s">
        <v>5245</v>
      </c>
      <c t="s">
        <v>5244</v>
      </c>
      <c t="s">
        <v>5245</v>
      </c>
      <c t="s">
        <v>5236</v>
      </c>
      <c t="s">
        <v>5246</v>
      </c>
    </row>
    <row r="65" spans="1:7" ht="11.25" customHeight="1">
      <c r="A65" t="s">
        <v>16</v>
      </c>
      <c t="s">
        <v>5247</v>
      </c>
      <c t="s">
        <v>5248</v>
      </c>
      <c t="s">
        <v>5247</v>
      </c>
      <c t="s">
        <v>5248</v>
      </c>
      <c t="s">
        <v>5236</v>
      </c>
      <c t="s">
        <v>5249</v>
      </c>
    </row>
    <row r="66" spans="1:7" ht="11.25" customHeight="1">
      <c r="A66" t="s">
        <v>16</v>
      </c>
      <c t="s">
        <v>5250</v>
      </c>
      <c t="s">
        <v>5251</v>
      </c>
      <c t="s">
        <v>5250</v>
      </c>
      <c t="s">
        <v>5251</v>
      </c>
      <c t="s">
        <v>5236</v>
      </c>
      <c t="s">
        <v>5252</v>
      </c>
    </row>
    <row r="67" spans="1:7" ht="11.25" customHeight="1">
      <c r="A67" t="s">
        <v>16</v>
      </c>
      <c t="s">
        <v>5253</v>
      </c>
      <c t="s">
        <v>5254</v>
      </c>
      <c t="s">
        <v>5253</v>
      </c>
      <c t="s">
        <v>5254</v>
      </c>
      <c t="s">
        <v>5236</v>
      </c>
      <c t="s">
        <v>2021</v>
      </c>
    </row>
    <row r="68" spans="1:7" ht="11.25" customHeight="1">
      <c r="A68" t="s">
        <v>16</v>
      </c>
      <c t="s">
        <v>5255</v>
      </c>
      <c t="s">
        <v>5256</v>
      </c>
      <c t="s">
        <v>5257</v>
      </c>
      <c t="s">
        <v>5258</v>
      </c>
      <c t="s">
        <v>5124</v>
      </c>
      <c t="s">
        <v>5259</v>
      </c>
    </row>
    <row r="69" spans="1:7" ht="11.25" customHeight="1">
      <c r="A69" t="s">
        <v>16</v>
      </c>
      <c t="s">
        <v>5255</v>
      </c>
      <c t="s">
        <v>5256</v>
      </c>
      <c t="s">
        <v>5260</v>
      </c>
      <c t="s">
        <v>5261</v>
      </c>
      <c t="s">
        <v>5121</v>
      </c>
      <c t="s">
        <v>2224</v>
      </c>
    </row>
    <row r="70" spans="1:7" ht="11.25" customHeight="1">
      <c r="A70" t="s">
        <v>16</v>
      </c>
      <c t="s">
        <v>5255</v>
      </c>
      <c t="s">
        <v>5256</v>
      </c>
      <c t="s">
        <v>5255</v>
      </c>
      <c t="s">
        <v>5256</v>
      </c>
      <c t="s">
        <v>5115</v>
      </c>
      <c t="s">
        <v>5262</v>
      </c>
    </row>
    <row r="71" spans="1:7" ht="11.25" customHeight="1">
      <c r="A71" t="s">
        <v>16</v>
      </c>
      <c t="s">
        <v>5255</v>
      </c>
      <c t="s">
        <v>5256</v>
      </c>
      <c t="s">
        <v>5263</v>
      </c>
      <c t="s">
        <v>5264</v>
      </c>
      <c t="s">
        <v>5118</v>
      </c>
      <c t="s">
        <v>5265</v>
      </c>
    </row>
    <row r="72" spans="1:7" ht="11.25" customHeight="1">
      <c r="A72" t="s">
        <v>16</v>
      </c>
      <c t="s">
        <v>5255</v>
      </c>
      <c t="s">
        <v>5256</v>
      </c>
      <c t="s">
        <v>5266</v>
      </c>
      <c t="s">
        <v>5267</v>
      </c>
      <c t="s">
        <v>5124</v>
      </c>
      <c t="s">
        <v>5268</v>
      </c>
    </row>
    <row r="73" spans="1:7" ht="11.25" customHeight="1">
      <c r="A73" t="s">
        <v>16</v>
      </c>
      <c t="s">
        <v>5255</v>
      </c>
      <c t="s">
        <v>5256</v>
      </c>
      <c t="s">
        <v>5269</v>
      </c>
      <c t="s">
        <v>5270</v>
      </c>
      <c t="s">
        <v>5121</v>
      </c>
      <c t="s">
        <v>5271</v>
      </c>
    </row>
    <row r="74" spans="1:7" ht="11.25" customHeight="1">
      <c r="A74" t="s">
        <v>16</v>
      </c>
      <c t="s">
        <v>5255</v>
      </c>
      <c t="s">
        <v>5256</v>
      </c>
      <c t="s">
        <v>5272</v>
      </c>
      <c t="s">
        <v>5273</v>
      </c>
      <c t="s">
        <v>5124</v>
      </c>
      <c t="s">
        <v>5274</v>
      </c>
    </row>
    <row r="75" spans="1:7" ht="11.25" customHeight="1">
      <c r="A75" t="s">
        <v>16</v>
      </c>
      <c t="s">
        <v>5255</v>
      </c>
      <c t="s">
        <v>5256</v>
      </c>
      <c t="s">
        <v>5275</v>
      </c>
      <c t="s">
        <v>5276</v>
      </c>
      <c t="s">
        <v>5124</v>
      </c>
      <c t="s">
        <v>5277</v>
      </c>
    </row>
    <row r="76" spans="1:7" ht="11.25" customHeight="1">
      <c r="A76" t="s">
        <v>16</v>
      </c>
      <c t="s">
        <v>5255</v>
      </c>
      <c t="s">
        <v>5256</v>
      </c>
      <c t="s">
        <v>5278</v>
      </c>
      <c t="s">
        <v>5279</v>
      </c>
      <c t="s">
        <v>5124</v>
      </c>
      <c t="s">
        <v>5280</v>
      </c>
    </row>
    <row r="77" spans="1:7" ht="11.25" customHeight="1">
      <c r="A77" t="s">
        <v>16</v>
      </c>
      <c t="s">
        <v>5255</v>
      </c>
      <c t="s">
        <v>5256</v>
      </c>
      <c t="s">
        <v>5281</v>
      </c>
      <c t="s">
        <v>5282</v>
      </c>
      <c t="s">
        <v>5124</v>
      </c>
      <c t="s">
        <v>5283</v>
      </c>
    </row>
    <row r="78" spans="1:7" ht="11.25" customHeight="1">
      <c r="A78" t="s">
        <v>16</v>
      </c>
      <c t="s">
        <v>5255</v>
      </c>
      <c t="s">
        <v>5256</v>
      </c>
      <c t="s">
        <v>5284</v>
      </c>
      <c t="s">
        <v>5285</v>
      </c>
      <c t="s">
        <v>5124</v>
      </c>
      <c t="s">
        <v>5286</v>
      </c>
    </row>
    <row r="79" spans="1:7" ht="11.25" customHeight="1">
      <c r="A79" t="s">
        <v>16</v>
      </c>
      <c t="s">
        <v>5255</v>
      </c>
      <c t="s">
        <v>5256</v>
      </c>
      <c t="s">
        <v>5287</v>
      </c>
      <c t="s">
        <v>5288</v>
      </c>
      <c t="s">
        <v>5124</v>
      </c>
      <c t="s">
        <v>5289</v>
      </c>
    </row>
    <row r="80" spans="1:7" ht="11.25" customHeight="1">
      <c r="A80" t="s">
        <v>16</v>
      </c>
      <c t="s">
        <v>5255</v>
      </c>
      <c t="s">
        <v>5256</v>
      </c>
      <c t="s">
        <v>5290</v>
      </c>
      <c t="s">
        <v>5291</v>
      </c>
      <c t="s">
        <v>5124</v>
      </c>
      <c t="s">
        <v>5292</v>
      </c>
    </row>
    <row r="81" spans="1:7" ht="11.25" customHeight="1">
      <c r="A81" t="s">
        <v>16</v>
      </c>
      <c t="s">
        <v>5255</v>
      </c>
      <c t="s">
        <v>5256</v>
      </c>
      <c t="s">
        <v>5293</v>
      </c>
      <c t="s">
        <v>5294</v>
      </c>
      <c t="s">
        <v>5124</v>
      </c>
      <c t="s">
        <v>5295</v>
      </c>
    </row>
    <row r="82" spans="1:7" ht="11.25" customHeight="1">
      <c r="A82" t="s">
        <v>16</v>
      </c>
      <c t="s">
        <v>5255</v>
      </c>
      <c t="s">
        <v>5256</v>
      </c>
      <c t="s">
        <v>5296</v>
      </c>
      <c t="s">
        <v>5297</v>
      </c>
      <c t="s">
        <v>5124</v>
      </c>
      <c t="s">
        <v>5298</v>
      </c>
    </row>
    <row r="83" spans="1:7" ht="11.25" customHeight="1">
      <c r="A83" t="s">
        <v>16</v>
      </c>
      <c t="s">
        <v>5255</v>
      </c>
      <c t="s">
        <v>5256</v>
      </c>
      <c t="s">
        <v>5299</v>
      </c>
      <c t="s">
        <v>5300</v>
      </c>
      <c t="s">
        <v>5124</v>
      </c>
      <c t="s">
        <v>5301</v>
      </c>
    </row>
    <row r="84" spans="1:7" ht="11.25" customHeight="1">
      <c r="A84" t="s">
        <v>16</v>
      </c>
      <c t="s">
        <v>5302</v>
      </c>
      <c t="s">
        <v>5303</v>
      </c>
      <c t="s">
        <v>5304</v>
      </c>
      <c t="s">
        <v>5305</v>
      </c>
      <c t="s">
        <v>5124</v>
      </c>
      <c t="s">
        <v>5306</v>
      </c>
    </row>
    <row r="85" spans="1:7" ht="11.25" customHeight="1">
      <c r="A85" t="s">
        <v>16</v>
      </c>
      <c t="s">
        <v>5302</v>
      </c>
      <c t="s">
        <v>5303</v>
      </c>
      <c t="s">
        <v>5307</v>
      </c>
      <c t="s">
        <v>5308</v>
      </c>
      <c t="s">
        <v>5124</v>
      </c>
      <c t="s">
        <v>5309</v>
      </c>
    </row>
    <row r="86" spans="1:7" ht="11.25" customHeight="1">
      <c r="A86" t="s">
        <v>16</v>
      </c>
      <c t="s">
        <v>5302</v>
      </c>
      <c t="s">
        <v>5303</v>
      </c>
      <c t="s">
        <v>5302</v>
      </c>
      <c t="s">
        <v>5303</v>
      </c>
      <c t="s">
        <v>5115</v>
      </c>
      <c t="s">
        <v>5310</v>
      </c>
    </row>
    <row r="87" spans="1:7" ht="11.25" customHeight="1">
      <c r="A87" t="s">
        <v>16</v>
      </c>
      <c t="s">
        <v>5302</v>
      </c>
      <c t="s">
        <v>5303</v>
      </c>
      <c t="s">
        <v>5311</v>
      </c>
      <c t="s">
        <v>5312</v>
      </c>
      <c t="s">
        <v>5124</v>
      </c>
      <c t="s">
        <v>5313</v>
      </c>
    </row>
    <row r="88" spans="1:7" ht="11.25" customHeight="1">
      <c r="A88" t="s">
        <v>16</v>
      </c>
      <c t="s">
        <v>5302</v>
      </c>
      <c t="s">
        <v>5303</v>
      </c>
      <c t="s">
        <v>5314</v>
      </c>
      <c t="s">
        <v>5315</v>
      </c>
      <c t="s">
        <v>5124</v>
      </c>
      <c t="s">
        <v>5316</v>
      </c>
    </row>
    <row r="89" spans="1:7" ht="11.25" customHeight="1">
      <c r="A89" t="s">
        <v>16</v>
      </c>
      <c t="s">
        <v>5302</v>
      </c>
      <c t="s">
        <v>5303</v>
      </c>
      <c t="s">
        <v>5317</v>
      </c>
      <c t="s">
        <v>5318</v>
      </c>
      <c t="s">
        <v>5124</v>
      </c>
      <c t="s">
        <v>5319</v>
      </c>
    </row>
    <row r="90" spans="1:7" ht="11.25" customHeight="1">
      <c r="A90" t="s">
        <v>16</v>
      </c>
      <c t="s">
        <v>5302</v>
      </c>
      <c t="s">
        <v>5303</v>
      </c>
      <c t="s">
        <v>5320</v>
      </c>
      <c t="s">
        <v>5321</v>
      </c>
      <c t="s">
        <v>5124</v>
      </c>
      <c t="s">
        <v>5322</v>
      </c>
    </row>
    <row r="91" spans="1:7" ht="11.25" customHeight="1">
      <c r="A91" t="s">
        <v>16</v>
      </c>
      <c t="s">
        <v>5302</v>
      </c>
      <c t="s">
        <v>5303</v>
      </c>
      <c t="s">
        <v>5323</v>
      </c>
      <c t="s">
        <v>5324</v>
      </c>
      <c t="s">
        <v>5124</v>
      </c>
      <c t="s">
        <v>5325</v>
      </c>
    </row>
    <row r="92" spans="1:7" ht="11.25" customHeight="1">
      <c r="A92" t="s">
        <v>16</v>
      </c>
      <c t="s">
        <v>5302</v>
      </c>
      <c t="s">
        <v>5303</v>
      </c>
      <c t="s">
        <v>5326</v>
      </c>
      <c t="s">
        <v>5327</v>
      </c>
      <c t="s">
        <v>5124</v>
      </c>
      <c t="s">
        <v>5328</v>
      </c>
    </row>
    <row r="93" spans="1:7" ht="11.25" customHeight="1">
      <c r="A93" t="s">
        <v>16</v>
      </c>
      <c t="s">
        <v>5302</v>
      </c>
      <c t="s">
        <v>5303</v>
      </c>
      <c t="s">
        <v>5329</v>
      </c>
      <c t="s">
        <v>5330</v>
      </c>
      <c t="s">
        <v>5124</v>
      </c>
      <c t="s">
        <v>5331</v>
      </c>
    </row>
    <row r="94" spans="1:7" ht="11.25" customHeight="1">
      <c r="A94" t="s">
        <v>16</v>
      </c>
      <c t="s">
        <v>5302</v>
      </c>
      <c t="s">
        <v>5303</v>
      </c>
      <c t="s">
        <v>5332</v>
      </c>
      <c t="s">
        <v>5333</v>
      </c>
      <c t="s">
        <v>5124</v>
      </c>
      <c t="s">
        <v>5334</v>
      </c>
    </row>
    <row r="95" spans="1:7" ht="11.25" customHeight="1">
      <c r="A95" t="s">
        <v>16</v>
      </c>
      <c t="s">
        <v>99</v>
      </c>
      <c t="s">
        <v>5335</v>
      </c>
      <c t="s">
        <v>5336</v>
      </c>
      <c t="s">
        <v>5337</v>
      </c>
      <c t="s">
        <v>5124</v>
      </c>
      <c t="s">
        <v>5338</v>
      </c>
    </row>
    <row r="96" spans="1:7" ht="11.25" customHeight="1">
      <c r="A96" t="s">
        <v>16</v>
      </c>
      <c t="s">
        <v>99</v>
      </c>
      <c t="s">
        <v>5335</v>
      </c>
      <c t="s">
        <v>5339</v>
      </c>
      <c t="s">
        <v>5340</v>
      </c>
      <c t="s">
        <v>5124</v>
      </c>
      <c t="s">
        <v>5341</v>
      </c>
    </row>
    <row r="97" spans="1:7" ht="11.25" customHeight="1">
      <c r="A97" t="s">
        <v>16</v>
      </c>
      <c t="s">
        <v>99</v>
      </c>
      <c t="s">
        <v>5335</v>
      </c>
      <c t="s">
        <v>99</v>
      </c>
      <c t="s">
        <v>5335</v>
      </c>
      <c t="s">
        <v>5115</v>
      </c>
      <c t="s">
        <v>5342</v>
      </c>
    </row>
    <row r="98" spans="1:7" ht="11.25" customHeight="1">
      <c r="A98" t="s">
        <v>16</v>
      </c>
      <c t="s">
        <v>99</v>
      </c>
      <c t="s">
        <v>5335</v>
      </c>
      <c t="s">
        <v>5343</v>
      </c>
      <c t="s">
        <v>5344</v>
      </c>
      <c t="s">
        <v>5124</v>
      </c>
      <c t="s">
        <v>5345</v>
      </c>
    </row>
    <row r="99" spans="1:7" ht="11.25" customHeight="1">
      <c r="A99" t="s">
        <v>16</v>
      </c>
      <c t="s">
        <v>99</v>
      </c>
      <c t="s">
        <v>5335</v>
      </c>
      <c t="s">
        <v>100</v>
      </c>
      <c t="s">
        <v>101</v>
      </c>
      <c t="s">
        <v>5118</v>
      </c>
      <c t="s">
        <v>98</v>
      </c>
    </row>
    <row r="100" spans="1:7" ht="11.25" customHeight="1">
      <c r="A100" t="s">
        <v>16</v>
      </c>
      <c t="s">
        <v>99</v>
      </c>
      <c t="s">
        <v>5335</v>
      </c>
      <c t="s">
        <v>5346</v>
      </c>
      <c t="s">
        <v>5347</v>
      </c>
      <c t="s">
        <v>5124</v>
      </c>
      <c t="s">
        <v>5348</v>
      </c>
    </row>
    <row r="101" spans="1:7" ht="11.25" customHeight="1">
      <c r="A101" t="s">
        <v>16</v>
      </c>
      <c t="s">
        <v>99</v>
      </c>
      <c t="s">
        <v>5335</v>
      </c>
      <c t="s">
        <v>5349</v>
      </c>
      <c t="s">
        <v>5350</v>
      </c>
      <c t="s">
        <v>5124</v>
      </c>
      <c t="s">
        <v>5351</v>
      </c>
    </row>
    <row r="102" spans="1:7" ht="11.25" customHeight="1">
      <c r="A102" t="s">
        <v>16</v>
      </c>
      <c t="s">
        <v>99</v>
      </c>
      <c t="s">
        <v>5335</v>
      </c>
      <c t="s">
        <v>5352</v>
      </c>
      <c t="s">
        <v>5353</v>
      </c>
      <c t="s">
        <v>5124</v>
      </c>
      <c t="s">
        <v>5354</v>
      </c>
    </row>
    <row r="103" spans="1:7" ht="11.25" customHeight="1">
      <c r="A103" t="s">
        <v>16</v>
      </c>
      <c t="s">
        <v>99</v>
      </c>
      <c t="s">
        <v>5335</v>
      </c>
      <c t="s">
        <v>5355</v>
      </c>
      <c t="s">
        <v>5356</v>
      </c>
      <c t="s">
        <v>5124</v>
      </c>
      <c t="s">
        <v>5357</v>
      </c>
    </row>
    <row r="104" spans="1:7" ht="11.25" customHeight="1">
      <c r="A104" t="s">
        <v>16</v>
      </c>
      <c t="s">
        <v>99</v>
      </c>
      <c t="s">
        <v>5335</v>
      </c>
      <c t="s">
        <v>5358</v>
      </c>
      <c t="s">
        <v>5359</v>
      </c>
      <c t="s">
        <v>5124</v>
      </c>
      <c t="s">
        <v>5360</v>
      </c>
    </row>
    <row r="105" spans="1:7" ht="11.25" customHeight="1">
      <c r="A105" t="s">
        <v>16</v>
      </c>
      <c t="s">
        <v>99</v>
      </c>
      <c t="s">
        <v>5335</v>
      </c>
      <c t="s">
        <v>5361</v>
      </c>
      <c t="s">
        <v>5362</v>
      </c>
      <c t="s">
        <v>5124</v>
      </c>
      <c t="s">
        <v>5363</v>
      </c>
    </row>
    <row r="106" spans="1:7" ht="11.25" customHeight="1">
      <c r="A106" t="s">
        <v>16</v>
      </c>
      <c t="s">
        <v>99</v>
      </c>
      <c t="s">
        <v>5335</v>
      </c>
      <c t="s">
        <v>5364</v>
      </c>
      <c t="s">
        <v>5365</v>
      </c>
      <c t="s">
        <v>5124</v>
      </c>
      <c t="s">
        <v>5366</v>
      </c>
    </row>
    <row r="107" spans="1:7" ht="11.25" customHeight="1">
      <c r="A107" t="s">
        <v>16</v>
      </c>
      <c t="s">
        <v>5367</v>
      </c>
      <c t="s">
        <v>5368</v>
      </c>
      <c t="s">
        <v>5369</v>
      </c>
      <c t="s">
        <v>5370</v>
      </c>
      <c t="s">
        <v>5124</v>
      </c>
      <c t="s">
        <v>5371</v>
      </c>
    </row>
    <row r="108" spans="1:7" ht="11.25" customHeight="1">
      <c r="A108" t="s">
        <v>16</v>
      </c>
      <c t="s">
        <v>5367</v>
      </c>
      <c t="s">
        <v>5368</v>
      </c>
      <c t="s">
        <v>5367</v>
      </c>
      <c t="s">
        <v>5368</v>
      </c>
      <c t="s">
        <v>5115</v>
      </c>
      <c t="s">
        <v>5372</v>
      </c>
    </row>
    <row r="109" spans="1:7" ht="11.25" customHeight="1">
      <c r="A109" t="s">
        <v>16</v>
      </c>
      <c t="s">
        <v>5367</v>
      </c>
      <c t="s">
        <v>5368</v>
      </c>
      <c t="s">
        <v>5373</v>
      </c>
      <c t="s">
        <v>5374</v>
      </c>
      <c t="s">
        <v>5124</v>
      </c>
      <c t="s">
        <v>5375</v>
      </c>
    </row>
    <row r="110" spans="1:7" ht="11.25" customHeight="1">
      <c r="A110" t="s">
        <v>16</v>
      </c>
      <c t="s">
        <v>5367</v>
      </c>
      <c t="s">
        <v>5368</v>
      </c>
      <c t="s">
        <v>5376</v>
      </c>
      <c t="s">
        <v>5377</v>
      </c>
      <c t="s">
        <v>5124</v>
      </c>
      <c t="s">
        <v>5378</v>
      </c>
    </row>
    <row r="111" spans="1:7" ht="11.25" customHeight="1">
      <c r="A111" t="s">
        <v>16</v>
      </c>
      <c t="s">
        <v>5367</v>
      </c>
      <c t="s">
        <v>5368</v>
      </c>
      <c t="s">
        <v>5379</v>
      </c>
      <c t="s">
        <v>5380</v>
      </c>
      <c t="s">
        <v>5118</v>
      </c>
      <c t="s">
        <v>5381</v>
      </c>
    </row>
    <row r="112" spans="1:7" ht="11.25" customHeight="1">
      <c r="A112" t="s">
        <v>16</v>
      </c>
      <c t="s">
        <v>5367</v>
      </c>
      <c t="s">
        <v>5368</v>
      </c>
      <c t="s">
        <v>5382</v>
      </c>
      <c t="s">
        <v>5383</v>
      </c>
      <c t="s">
        <v>5124</v>
      </c>
      <c t="s">
        <v>5384</v>
      </c>
    </row>
    <row r="113" spans="1:7" ht="11.25" customHeight="1">
      <c r="A113" t="s">
        <v>16</v>
      </c>
      <c t="s">
        <v>5367</v>
      </c>
      <c t="s">
        <v>5368</v>
      </c>
      <c t="s">
        <v>5385</v>
      </c>
      <c t="s">
        <v>5386</v>
      </c>
      <c t="s">
        <v>5124</v>
      </c>
      <c t="s">
        <v>5387</v>
      </c>
    </row>
    <row r="114" spans="1:7" ht="11.25" customHeight="1">
      <c r="A114" t="s">
        <v>16</v>
      </c>
      <c t="s">
        <v>5367</v>
      </c>
      <c t="s">
        <v>5368</v>
      </c>
      <c t="s">
        <v>5388</v>
      </c>
      <c t="s">
        <v>5389</v>
      </c>
      <c t="s">
        <v>5124</v>
      </c>
      <c t="s">
        <v>5390</v>
      </c>
    </row>
    <row r="115" spans="1:7" ht="11.25" customHeight="1">
      <c r="A115" t="s">
        <v>16</v>
      </c>
      <c t="s">
        <v>5367</v>
      </c>
      <c t="s">
        <v>5368</v>
      </c>
      <c t="s">
        <v>5391</v>
      </c>
      <c t="s">
        <v>5392</v>
      </c>
      <c t="s">
        <v>5124</v>
      </c>
      <c t="s">
        <v>5393</v>
      </c>
    </row>
    <row r="116" spans="1:7" ht="11.25" customHeight="1">
      <c r="A116" t="s">
        <v>16</v>
      </c>
      <c t="s">
        <v>5367</v>
      </c>
      <c t="s">
        <v>5368</v>
      </c>
      <c t="s">
        <v>5394</v>
      </c>
      <c t="s">
        <v>5395</v>
      </c>
      <c t="s">
        <v>5124</v>
      </c>
      <c t="s">
        <v>5396</v>
      </c>
    </row>
    <row r="117" spans="1:7" ht="11.25" customHeight="1">
      <c r="A117" t="s">
        <v>16</v>
      </c>
      <c t="s">
        <v>5397</v>
      </c>
      <c t="s">
        <v>5398</v>
      </c>
      <c t="s">
        <v>5399</v>
      </c>
      <c t="s">
        <v>5400</v>
      </c>
      <c t="s">
        <v>5124</v>
      </c>
      <c t="s">
        <v>5401</v>
      </c>
    </row>
    <row r="118" spans="1:7" ht="11.25" customHeight="1">
      <c r="A118" t="s">
        <v>16</v>
      </c>
      <c t="s">
        <v>5397</v>
      </c>
      <c t="s">
        <v>5398</v>
      </c>
      <c t="s">
        <v>5402</v>
      </c>
      <c t="s">
        <v>5403</v>
      </c>
      <c t="s">
        <v>5124</v>
      </c>
      <c t="s">
        <v>5404</v>
      </c>
    </row>
    <row r="119" spans="1:7" ht="11.25" customHeight="1">
      <c r="A119" t="s">
        <v>16</v>
      </c>
      <c t="s">
        <v>5397</v>
      </c>
      <c t="s">
        <v>5398</v>
      </c>
      <c t="s">
        <v>5405</v>
      </c>
      <c t="s">
        <v>5406</v>
      </c>
      <c t="s">
        <v>5124</v>
      </c>
      <c t="s">
        <v>5407</v>
      </c>
    </row>
    <row r="120" spans="1:7" ht="11.25" customHeight="1">
      <c r="A120" t="s">
        <v>16</v>
      </c>
      <c t="s">
        <v>5397</v>
      </c>
      <c t="s">
        <v>5398</v>
      </c>
      <c t="s">
        <v>5408</v>
      </c>
      <c t="s">
        <v>5409</v>
      </c>
      <c t="s">
        <v>5124</v>
      </c>
      <c t="s">
        <v>5410</v>
      </c>
    </row>
    <row r="121" spans="1:7" ht="11.25" customHeight="1">
      <c r="A121" t="s">
        <v>16</v>
      </c>
      <c t="s">
        <v>5397</v>
      </c>
      <c t="s">
        <v>5398</v>
      </c>
      <c t="s">
        <v>5397</v>
      </c>
      <c t="s">
        <v>5398</v>
      </c>
      <c t="s">
        <v>5115</v>
      </c>
      <c t="s">
        <v>5411</v>
      </c>
    </row>
    <row r="122" spans="1:7" ht="11.25" customHeight="1">
      <c r="A122" t="s">
        <v>16</v>
      </c>
      <c t="s">
        <v>5397</v>
      </c>
      <c t="s">
        <v>5398</v>
      </c>
      <c t="s">
        <v>5412</v>
      </c>
      <c t="s">
        <v>5413</v>
      </c>
      <c t="s">
        <v>5124</v>
      </c>
      <c t="s">
        <v>5414</v>
      </c>
    </row>
    <row r="123" spans="1:7" ht="11.25" customHeight="1">
      <c r="A123" t="s">
        <v>16</v>
      </c>
      <c t="s">
        <v>5397</v>
      </c>
      <c t="s">
        <v>5398</v>
      </c>
      <c t="s">
        <v>5415</v>
      </c>
      <c t="s">
        <v>5416</v>
      </c>
      <c t="s">
        <v>5124</v>
      </c>
      <c t="s">
        <v>5417</v>
      </c>
    </row>
    <row r="124" spans="1:7" ht="11.25" customHeight="1">
      <c r="A124" t="s">
        <v>16</v>
      </c>
      <c t="s">
        <v>5397</v>
      </c>
      <c t="s">
        <v>5398</v>
      </c>
      <c t="s">
        <v>5418</v>
      </c>
      <c t="s">
        <v>5419</v>
      </c>
      <c t="s">
        <v>5124</v>
      </c>
      <c t="s">
        <v>5420</v>
      </c>
    </row>
    <row r="125" spans="1:7" ht="11.25" customHeight="1">
      <c r="A125" t="s">
        <v>16</v>
      </c>
      <c t="s">
        <v>5397</v>
      </c>
      <c t="s">
        <v>5398</v>
      </c>
      <c t="s">
        <v>5421</v>
      </c>
      <c t="s">
        <v>5422</v>
      </c>
      <c t="s">
        <v>5124</v>
      </c>
      <c t="s">
        <v>5423</v>
      </c>
    </row>
    <row r="126" spans="1:7" ht="11.25" customHeight="1">
      <c r="A126" t="s">
        <v>16</v>
      </c>
      <c t="s">
        <v>5424</v>
      </c>
      <c t="s">
        <v>5425</v>
      </c>
      <c t="s">
        <v>5426</v>
      </c>
      <c t="s">
        <v>5427</v>
      </c>
      <c t="s">
        <v>5124</v>
      </c>
      <c t="s">
        <v>5428</v>
      </c>
    </row>
    <row r="127" spans="1:7" ht="11.25" customHeight="1">
      <c r="A127" t="s">
        <v>16</v>
      </c>
      <c t="s">
        <v>5424</v>
      </c>
      <c t="s">
        <v>5425</v>
      </c>
      <c t="s">
        <v>5424</v>
      </c>
      <c t="s">
        <v>5425</v>
      </c>
      <c t="s">
        <v>5115</v>
      </c>
      <c t="s">
        <v>5429</v>
      </c>
    </row>
    <row r="128" spans="1:7" ht="11.25" customHeight="1">
      <c r="A128" t="s">
        <v>16</v>
      </c>
      <c t="s">
        <v>5424</v>
      </c>
      <c t="s">
        <v>5425</v>
      </c>
      <c t="s">
        <v>5430</v>
      </c>
      <c t="s">
        <v>5431</v>
      </c>
      <c t="s">
        <v>5124</v>
      </c>
      <c t="s">
        <v>5432</v>
      </c>
    </row>
    <row r="129" spans="1:7" ht="11.25" customHeight="1">
      <c r="A129" t="s">
        <v>16</v>
      </c>
      <c t="s">
        <v>5424</v>
      </c>
      <c t="s">
        <v>5425</v>
      </c>
      <c t="s">
        <v>5433</v>
      </c>
      <c t="s">
        <v>5434</v>
      </c>
      <c t="s">
        <v>5124</v>
      </c>
      <c t="s">
        <v>5435</v>
      </c>
    </row>
    <row r="130" spans="1:7" ht="11.25" customHeight="1">
      <c r="A130" t="s">
        <v>16</v>
      </c>
      <c t="s">
        <v>5424</v>
      </c>
      <c t="s">
        <v>5425</v>
      </c>
      <c t="s">
        <v>5436</v>
      </c>
      <c t="s">
        <v>5437</v>
      </c>
      <c t="s">
        <v>5124</v>
      </c>
      <c t="s">
        <v>5438</v>
      </c>
    </row>
    <row r="131" spans="1:7" ht="11.25" customHeight="1">
      <c r="A131" t="s">
        <v>16</v>
      </c>
      <c t="s">
        <v>5424</v>
      </c>
      <c t="s">
        <v>5425</v>
      </c>
      <c t="s">
        <v>5439</v>
      </c>
      <c t="s">
        <v>5440</v>
      </c>
      <c t="s">
        <v>5124</v>
      </c>
      <c t="s">
        <v>5441</v>
      </c>
    </row>
    <row r="132" spans="1:7" ht="11.25" customHeight="1">
      <c r="A132" t="s">
        <v>16</v>
      </c>
      <c t="s">
        <v>5424</v>
      </c>
      <c t="s">
        <v>5425</v>
      </c>
      <c t="s">
        <v>5442</v>
      </c>
      <c t="s">
        <v>5443</v>
      </c>
      <c t="s">
        <v>5124</v>
      </c>
      <c t="s">
        <v>5444</v>
      </c>
    </row>
    <row r="133" spans="1:7" ht="11.25" customHeight="1">
      <c r="A133" t="s">
        <v>16</v>
      </c>
      <c t="s">
        <v>5424</v>
      </c>
      <c t="s">
        <v>5425</v>
      </c>
      <c t="s">
        <v>5445</v>
      </c>
      <c t="s">
        <v>5446</v>
      </c>
      <c t="s">
        <v>5124</v>
      </c>
      <c t="s">
        <v>5447</v>
      </c>
    </row>
    <row r="134" spans="1:7" ht="11.25" customHeight="1">
      <c r="A134" t="s">
        <v>16</v>
      </c>
      <c t="s">
        <v>5424</v>
      </c>
      <c t="s">
        <v>5425</v>
      </c>
      <c t="s">
        <v>5448</v>
      </c>
      <c t="s">
        <v>5449</v>
      </c>
      <c t="s">
        <v>5124</v>
      </c>
      <c t="s">
        <v>5450</v>
      </c>
    </row>
    <row r="135" spans="1:7" ht="11.25" customHeight="1">
      <c r="A135" t="s">
        <v>16</v>
      </c>
      <c t="s">
        <v>5424</v>
      </c>
      <c t="s">
        <v>5425</v>
      </c>
      <c t="s">
        <v>5451</v>
      </c>
      <c t="s">
        <v>5452</v>
      </c>
      <c t="s">
        <v>5124</v>
      </c>
      <c t="s">
        <v>5453</v>
      </c>
    </row>
    <row r="136" spans="1:7" ht="11.25" customHeight="1">
      <c r="A136" t="s">
        <v>16</v>
      </c>
      <c t="s">
        <v>5454</v>
      </c>
      <c t="s">
        <v>5455</v>
      </c>
      <c t="s">
        <v>5456</v>
      </c>
      <c t="s">
        <v>5457</v>
      </c>
      <c t="s">
        <v>5124</v>
      </c>
      <c t="s">
        <v>5458</v>
      </c>
    </row>
    <row r="137" spans="1:7" ht="11.25" customHeight="1">
      <c r="A137" t="s">
        <v>16</v>
      </c>
      <c t="s">
        <v>5454</v>
      </c>
      <c t="s">
        <v>5455</v>
      </c>
      <c t="s">
        <v>5459</v>
      </c>
      <c t="s">
        <v>5460</v>
      </c>
      <c t="s">
        <v>5124</v>
      </c>
      <c t="s">
        <v>5461</v>
      </c>
    </row>
    <row r="138" spans="1:7" ht="11.25" customHeight="1">
      <c r="A138" t="s">
        <v>16</v>
      </c>
      <c t="s">
        <v>5454</v>
      </c>
      <c t="s">
        <v>5455</v>
      </c>
      <c t="s">
        <v>5462</v>
      </c>
      <c t="s">
        <v>5463</v>
      </c>
      <c t="s">
        <v>5124</v>
      </c>
      <c t="s">
        <v>5464</v>
      </c>
    </row>
    <row r="139" spans="1:7" ht="11.25" customHeight="1">
      <c r="A139" t="s">
        <v>16</v>
      </c>
      <c t="s">
        <v>5454</v>
      </c>
      <c t="s">
        <v>5455</v>
      </c>
      <c t="s">
        <v>5465</v>
      </c>
      <c t="s">
        <v>5466</v>
      </c>
      <c t="s">
        <v>5124</v>
      </c>
      <c t="s">
        <v>5467</v>
      </c>
    </row>
    <row r="140" spans="1:7" ht="11.25" customHeight="1">
      <c r="A140" t="s">
        <v>16</v>
      </c>
      <c t="s">
        <v>5454</v>
      </c>
      <c t="s">
        <v>5455</v>
      </c>
      <c t="s">
        <v>5454</v>
      </c>
      <c t="s">
        <v>5455</v>
      </c>
      <c t="s">
        <v>5115</v>
      </c>
      <c t="s">
        <v>5468</v>
      </c>
    </row>
    <row r="141" spans="1:7" ht="11.25" customHeight="1">
      <c r="A141" t="s">
        <v>16</v>
      </c>
      <c t="s">
        <v>5454</v>
      </c>
      <c t="s">
        <v>5455</v>
      </c>
      <c t="s">
        <v>5469</v>
      </c>
      <c t="s">
        <v>5470</v>
      </c>
      <c t="s">
        <v>5118</v>
      </c>
      <c t="s">
        <v>5471</v>
      </c>
    </row>
    <row r="142" spans="1:7" ht="11.25" customHeight="1">
      <c r="A142" t="s">
        <v>16</v>
      </c>
      <c t="s">
        <v>5454</v>
      </c>
      <c t="s">
        <v>5455</v>
      </c>
      <c t="s">
        <v>5472</v>
      </c>
      <c t="s">
        <v>5473</v>
      </c>
      <c t="s">
        <v>5124</v>
      </c>
      <c t="s">
        <v>5474</v>
      </c>
    </row>
    <row r="143" spans="1:7" ht="11.25" customHeight="1">
      <c r="A143" t="s">
        <v>16</v>
      </c>
      <c t="s">
        <v>5454</v>
      </c>
      <c t="s">
        <v>5455</v>
      </c>
      <c t="s">
        <v>5475</v>
      </c>
      <c t="s">
        <v>5476</v>
      </c>
      <c t="s">
        <v>5124</v>
      </c>
      <c t="s">
        <v>5477</v>
      </c>
    </row>
    <row r="144" spans="1:7" ht="11.25" customHeight="1">
      <c r="A144" t="s">
        <v>16</v>
      </c>
      <c t="s">
        <v>5454</v>
      </c>
      <c t="s">
        <v>5455</v>
      </c>
      <c t="s">
        <v>5478</v>
      </c>
      <c t="s">
        <v>5479</v>
      </c>
      <c t="s">
        <v>5124</v>
      </c>
      <c t="s">
        <v>5480</v>
      </c>
    </row>
    <row r="145" spans="1:7" ht="11.25" customHeight="1">
      <c r="A145" t="s">
        <v>16</v>
      </c>
      <c t="s">
        <v>5454</v>
      </c>
      <c t="s">
        <v>5455</v>
      </c>
      <c t="s">
        <v>5481</v>
      </c>
      <c t="s">
        <v>5482</v>
      </c>
      <c t="s">
        <v>5124</v>
      </c>
      <c t="s">
        <v>5483</v>
      </c>
    </row>
    <row r="146" spans="1:7" ht="11.25" customHeight="1">
      <c r="A146" t="s">
        <v>16</v>
      </c>
      <c t="s">
        <v>5454</v>
      </c>
      <c t="s">
        <v>5455</v>
      </c>
      <c t="s">
        <v>5484</v>
      </c>
      <c t="s">
        <v>5485</v>
      </c>
      <c t="s">
        <v>5124</v>
      </c>
      <c t="s">
        <v>5486</v>
      </c>
    </row>
    <row r="147" spans="1:7" ht="11.25" customHeight="1">
      <c r="A147" t="s">
        <v>16</v>
      </c>
      <c t="s">
        <v>5487</v>
      </c>
      <c t="s">
        <v>5488</v>
      </c>
      <c t="s">
        <v>5489</v>
      </c>
      <c t="s">
        <v>5490</v>
      </c>
      <c t="s">
        <v>5124</v>
      </c>
      <c t="s">
        <v>5491</v>
      </c>
    </row>
    <row r="148" spans="1:7" ht="11.25" customHeight="1">
      <c r="A148" t="s">
        <v>16</v>
      </c>
      <c t="s">
        <v>5487</v>
      </c>
      <c t="s">
        <v>5488</v>
      </c>
      <c t="s">
        <v>5487</v>
      </c>
      <c t="s">
        <v>5488</v>
      </c>
      <c t="s">
        <v>5115</v>
      </c>
      <c t="s">
        <v>5492</v>
      </c>
    </row>
    <row r="149" spans="1:7" ht="11.25" customHeight="1">
      <c r="A149" t="s">
        <v>16</v>
      </c>
      <c t="s">
        <v>5487</v>
      </c>
      <c t="s">
        <v>5488</v>
      </c>
      <c t="s">
        <v>5493</v>
      </c>
      <c t="s">
        <v>5494</v>
      </c>
      <c t="s">
        <v>5124</v>
      </c>
      <c t="s">
        <v>5495</v>
      </c>
    </row>
    <row r="150" spans="1:7" ht="11.25" customHeight="1">
      <c r="A150" t="s">
        <v>16</v>
      </c>
      <c t="s">
        <v>5487</v>
      </c>
      <c t="s">
        <v>5488</v>
      </c>
      <c t="s">
        <v>5496</v>
      </c>
      <c t="s">
        <v>5497</v>
      </c>
      <c t="s">
        <v>5124</v>
      </c>
      <c t="s">
        <v>5498</v>
      </c>
    </row>
    <row r="151" spans="1:7" ht="11.25" customHeight="1">
      <c r="A151" t="s">
        <v>16</v>
      </c>
      <c t="s">
        <v>5487</v>
      </c>
      <c t="s">
        <v>5488</v>
      </c>
      <c t="s">
        <v>5499</v>
      </c>
      <c t="s">
        <v>5500</v>
      </c>
      <c t="s">
        <v>5124</v>
      </c>
      <c t="s">
        <v>5501</v>
      </c>
    </row>
    <row r="152" spans="1:7" ht="11.25" customHeight="1">
      <c r="A152" t="s">
        <v>16</v>
      </c>
      <c t="s">
        <v>5487</v>
      </c>
      <c t="s">
        <v>5488</v>
      </c>
      <c t="s">
        <v>5502</v>
      </c>
      <c t="s">
        <v>5503</v>
      </c>
      <c t="s">
        <v>5124</v>
      </c>
      <c t="s">
        <v>5504</v>
      </c>
    </row>
    <row r="153" spans="1:7" ht="11.25" customHeight="1">
      <c r="A153" t="s">
        <v>16</v>
      </c>
      <c t="s">
        <v>5487</v>
      </c>
      <c t="s">
        <v>5488</v>
      </c>
      <c t="s">
        <v>5505</v>
      </c>
      <c t="s">
        <v>5506</v>
      </c>
      <c t="s">
        <v>5124</v>
      </c>
      <c t="s">
        <v>5507</v>
      </c>
    </row>
    <row r="154" spans="1:7" ht="11.25" customHeight="1">
      <c r="A154" t="s">
        <v>16</v>
      </c>
      <c t="s">
        <v>5487</v>
      </c>
      <c t="s">
        <v>5488</v>
      </c>
      <c t="s">
        <v>5508</v>
      </c>
      <c t="s">
        <v>5509</v>
      </c>
      <c t="s">
        <v>5124</v>
      </c>
      <c t="s">
        <v>5510</v>
      </c>
    </row>
    <row r="155" spans="1:7" ht="11.25" customHeight="1">
      <c r="A155" t="s">
        <v>16</v>
      </c>
      <c t="s">
        <v>5487</v>
      </c>
      <c t="s">
        <v>5488</v>
      </c>
      <c t="s">
        <v>5511</v>
      </c>
      <c t="s">
        <v>5512</v>
      </c>
      <c t="s">
        <v>5124</v>
      </c>
      <c t="s">
        <v>5513</v>
      </c>
    </row>
    <row r="156" spans="1:7" ht="11.25" customHeight="1">
      <c r="A156" t="s">
        <v>16</v>
      </c>
      <c t="s">
        <v>5487</v>
      </c>
      <c t="s">
        <v>5488</v>
      </c>
      <c t="s">
        <v>5514</v>
      </c>
      <c t="s">
        <v>5515</v>
      </c>
      <c t="s">
        <v>5124</v>
      </c>
      <c t="s">
        <v>5516</v>
      </c>
    </row>
    <row r="157" spans="1:7" ht="11.25" customHeight="1">
      <c r="A157" t="s">
        <v>16</v>
      </c>
      <c t="s">
        <v>5487</v>
      </c>
      <c t="s">
        <v>5488</v>
      </c>
      <c t="s">
        <v>5517</v>
      </c>
      <c t="s">
        <v>5518</v>
      </c>
      <c t="s">
        <v>5124</v>
      </c>
      <c t="s">
        <v>5519</v>
      </c>
    </row>
    <row r="158" spans="1:7" ht="11.25" customHeight="1">
      <c r="A158" t="s">
        <v>16</v>
      </c>
      <c t="s">
        <v>5520</v>
      </c>
      <c t="s">
        <v>5521</v>
      </c>
      <c t="s">
        <v>5520</v>
      </c>
      <c t="s">
        <v>5521</v>
      </c>
      <c t="s">
        <v>5115</v>
      </c>
      <c t="s">
        <v>5522</v>
      </c>
    </row>
    <row r="159" spans="1:7" ht="11.25" customHeight="1">
      <c r="A159" t="s">
        <v>16</v>
      </c>
      <c t="s">
        <v>5520</v>
      </c>
      <c t="s">
        <v>5521</v>
      </c>
      <c t="s">
        <v>5523</v>
      </c>
      <c t="s">
        <v>5524</v>
      </c>
      <c t="s">
        <v>5124</v>
      </c>
      <c t="s">
        <v>5525</v>
      </c>
    </row>
    <row r="160" spans="1:7" ht="11.25" customHeight="1">
      <c r="A160" t="s">
        <v>16</v>
      </c>
      <c t="s">
        <v>5520</v>
      </c>
      <c t="s">
        <v>5521</v>
      </c>
      <c t="s">
        <v>5526</v>
      </c>
      <c t="s">
        <v>5527</v>
      </c>
      <c t="s">
        <v>5124</v>
      </c>
      <c t="s">
        <v>5528</v>
      </c>
    </row>
    <row r="161" spans="1:7" ht="11.25" customHeight="1">
      <c r="A161" t="s">
        <v>16</v>
      </c>
      <c t="s">
        <v>5520</v>
      </c>
      <c t="s">
        <v>5521</v>
      </c>
      <c t="s">
        <v>5529</v>
      </c>
      <c t="s">
        <v>5530</v>
      </c>
      <c t="s">
        <v>5124</v>
      </c>
      <c t="s">
        <v>5531</v>
      </c>
    </row>
    <row r="162" spans="1:7" ht="11.25" customHeight="1">
      <c r="A162" t="s">
        <v>16</v>
      </c>
      <c t="s">
        <v>5520</v>
      </c>
      <c t="s">
        <v>5521</v>
      </c>
      <c t="s">
        <v>5532</v>
      </c>
      <c t="s">
        <v>5533</v>
      </c>
      <c t="s">
        <v>5124</v>
      </c>
      <c t="s">
        <v>5534</v>
      </c>
    </row>
    <row r="163" spans="1:7" ht="11.25" customHeight="1">
      <c r="A163" t="s">
        <v>16</v>
      </c>
      <c t="s">
        <v>5520</v>
      </c>
      <c t="s">
        <v>5521</v>
      </c>
      <c t="s">
        <v>5499</v>
      </c>
      <c t="s">
        <v>5535</v>
      </c>
      <c t="s">
        <v>5124</v>
      </c>
      <c t="s">
        <v>5536</v>
      </c>
    </row>
    <row r="164" spans="1:7" ht="11.25" customHeight="1">
      <c r="A164" t="s">
        <v>16</v>
      </c>
      <c t="s">
        <v>5520</v>
      </c>
      <c t="s">
        <v>5521</v>
      </c>
      <c t="s">
        <v>5537</v>
      </c>
      <c t="s">
        <v>5538</v>
      </c>
      <c t="s">
        <v>5124</v>
      </c>
      <c t="s">
        <v>5539</v>
      </c>
    </row>
    <row r="165" spans="1:7" ht="11.25" customHeight="1">
      <c r="A165" t="s">
        <v>16</v>
      </c>
      <c t="s">
        <v>5540</v>
      </c>
      <c t="s">
        <v>5541</v>
      </c>
      <c t="s">
        <v>5542</v>
      </c>
      <c t="s">
        <v>5543</v>
      </c>
      <c t="s">
        <v>5124</v>
      </c>
      <c t="s">
        <v>5544</v>
      </c>
    </row>
    <row r="166" spans="1:7" ht="11.25" customHeight="1">
      <c r="A166" t="s">
        <v>16</v>
      </c>
      <c t="s">
        <v>5540</v>
      </c>
      <c t="s">
        <v>5541</v>
      </c>
      <c t="s">
        <v>5545</v>
      </c>
      <c t="s">
        <v>5546</v>
      </c>
      <c t="s">
        <v>5124</v>
      </c>
      <c t="s">
        <v>5547</v>
      </c>
    </row>
    <row r="167" spans="1:7" ht="11.25" customHeight="1">
      <c r="A167" t="s">
        <v>16</v>
      </c>
      <c t="s">
        <v>5540</v>
      </c>
      <c t="s">
        <v>5541</v>
      </c>
      <c t="s">
        <v>5548</v>
      </c>
      <c t="s">
        <v>5549</v>
      </c>
      <c t="s">
        <v>5124</v>
      </c>
      <c t="s">
        <v>5550</v>
      </c>
    </row>
    <row r="168" spans="1:7" ht="11.25" customHeight="1">
      <c r="A168" t="s">
        <v>16</v>
      </c>
      <c t="s">
        <v>5540</v>
      </c>
      <c t="s">
        <v>5541</v>
      </c>
      <c t="s">
        <v>5551</v>
      </c>
      <c t="s">
        <v>5552</v>
      </c>
      <c t="s">
        <v>5124</v>
      </c>
      <c t="s">
        <v>5553</v>
      </c>
    </row>
    <row r="169" spans="1:7" ht="11.25" customHeight="1">
      <c r="A169" t="s">
        <v>16</v>
      </c>
      <c t="s">
        <v>5540</v>
      </c>
      <c t="s">
        <v>5541</v>
      </c>
      <c t="s">
        <v>5540</v>
      </c>
      <c t="s">
        <v>5541</v>
      </c>
      <c t="s">
        <v>5115</v>
      </c>
      <c t="s">
        <v>5554</v>
      </c>
    </row>
    <row r="170" spans="1:7" ht="11.25" customHeight="1">
      <c r="A170" t="s">
        <v>16</v>
      </c>
      <c t="s">
        <v>5540</v>
      </c>
      <c t="s">
        <v>5541</v>
      </c>
      <c t="s">
        <v>5555</v>
      </c>
      <c t="s">
        <v>5556</v>
      </c>
      <c t="s">
        <v>5118</v>
      </c>
      <c t="s">
        <v>5557</v>
      </c>
    </row>
    <row r="171" spans="1:7" ht="11.25" customHeight="1">
      <c r="A171" t="s">
        <v>16</v>
      </c>
      <c t="s">
        <v>5540</v>
      </c>
      <c t="s">
        <v>5541</v>
      </c>
      <c t="s">
        <v>5558</v>
      </c>
      <c t="s">
        <v>5559</v>
      </c>
      <c t="s">
        <v>5124</v>
      </c>
      <c t="s">
        <v>5560</v>
      </c>
    </row>
    <row r="172" spans="1:7" ht="11.25" customHeight="1">
      <c r="A172" t="s">
        <v>16</v>
      </c>
      <c t="s">
        <v>5540</v>
      </c>
      <c t="s">
        <v>5541</v>
      </c>
      <c t="s">
        <v>5561</v>
      </c>
      <c t="s">
        <v>5562</v>
      </c>
      <c t="s">
        <v>5124</v>
      </c>
      <c t="s">
        <v>5563</v>
      </c>
    </row>
    <row r="173" spans="1:7" ht="11.25" customHeight="1">
      <c r="A173" t="s">
        <v>16</v>
      </c>
      <c t="s">
        <v>5540</v>
      </c>
      <c t="s">
        <v>5541</v>
      </c>
      <c t="s">
        <v>5564</v>
      </c>
      <c t="s">
        <v>5565</v>
      </c>
      <c t="s">
        <v>5124</v>
      </c>
      <c t="s">
        <v>5566</v>
      </c>
    </row>
    <row r="174" spans="1:7" ht="11.25" customHeight="1">
      <c r="A174" t="s">
        <v>16</v>
      </c>
      <c t="s">
        <v>5540</v>
      </c>
      <c t="s">
        <v>5541</v>
      </c>
      <c t="s">
        <v>5567</v>
      </c>
      <c t="s">
        <v>5568</v>
      </c>
      <c t="s">
        <v>5124</v>
      </c>
      <c t="s">
        <v>5569</v>
      </c>
    </row>
    <row r="175" spans="1:7" ht="11.25" customHeight="1">
      <c r="A175" t="s">
        <v>16</v>
      </c>
      <c t="s">
        <v>5540</v>
      </c>
      <c t="s">
        <v>5541</v>
      </c>
      <c t="s">
        <v>5570</v>
      </c>
      <c t="s">
        <v>5571</v>
      </c>
      <c t="s">
        <v>5124</v>
      </c>
      <c t="s">
        <v>5572</v>
      </c>
    </row>
    <row r="176" spans="1:7" ht="11.25" customHeight="1">
      <c r="A176" t="s">
        <v>16</v>
      </c>
      <c t="s">
        <v>5540</v>
      </c>
      <c t="s">
        <v>5541</v>
      </c>
      <c t="s">
        <v>5573</v>
      </c>
      <c t="s">
        <v>5574</v>
      </c>
      <c t="s">
        <v>5124</v>
      </c>
      <c t="s">
        <v>5575</v>
      </c>
    </row>
    <row r="177" spans="1:7" ht="11.25" customHeight="1">
      <c r="A177" t="s">
        <v>16</v>
      </c>
      <c t="s">
        <v>5576</v>
      </c>
      <c t="s">
        <v>5577</v>
      </c>
      <c t="s">
        <v>5578</v>
      </c>
      <c t="s">
        <v>5579</v>
      </c>
      <c t="s">
        <v>5124</v>
      </c>
      <c t="s">
        <v>5580</v>
      </c>
    </row>
    <row r="178" spans="1:7" ht="11.25" customHeight="1">
      <c r="A178" t="s">
        <v>16</v>
      </c>
      <c t="s">
        <v>5576</v>
      </c>
      <c t="s">
        <v>5577</v>
      </c>
      <c t="s">
        <v>5581</v>
      </c>
      <c t="s">
        <v>5582</v>
      </c>
      <c t="s">
        <v>5124</v>
      </c>
      <c t="s">
        <v>5583</v>
      </c>
    </row>
    <row r="179" spans="1:7" ht="11.25" customHeight="1">
      <c r="A179" t="s">
        <v>16</v>
      </c>
      <c t="s">
        <v>5576</v>
      </c>
      <c t="s">
        <v>5577</v>
      </c>
      <c t="s">
        <v>5584</v>
      </c>
      <c t="s">
        <v>5585</v>
      </c>
      <c t="s">
        <v>5124</v>
      </c>
      <c t="s">
        <v>5586</v>
      </c>
    </row>
    <row r="180" spans="1:7" ht="11.25" customHeight="1">
      <c r="A180" t="s">
        <v>16</v>
      </c>
      <c t="s">
        <v>5576</v>
      </c>
      <c t="s">
        <v>5577</v>
      </c>
      <c t="s">
        <v>5576</v>
      </c>
      <c t="s">
        <v>5577</v>
      </c>
      <c t="s">
        <v>5115</v>
      </c>
      <c t="s">
        <v>5587</v>
      </c>
    </row>
    <row r="181" spans="1:7" ht="11.25" customHeight="1">
      <c r="A181" t="s">
        <v>16</v>
      </c>
      <c t="s">
        <v>5576</v>
      </c>
      <c t="s">
        <v>5577</v>
      </c>
      <c t="s">
        <v>5588</v>
      </c>
      <c t="s">
        <v>5589</v>
      </c>
      <c t="s">
        <v>5118</v>
      </c>
      <c t="s">
        <v>5590</v>
      </c>
    </row>
    <row r="182" spans="1:7" ht="11.25" customHeight="1">
      <c r="A182" t="s">
        <v>16</v>
      </c>
      <c t="s">
        <v>5576</v>
      </c>
      <c t="s">
        <v>5577</v>
      </c>
      <c t="s">
        <v>5591</v>
      </c>
      <c t="s">
        <v>5592</v>
      </c>
      <c t="s">
        <v>5124</v>
      </c>
      <c t="s">
        <v>5593</v>
      </c>
    </row>
    <row r="183" spans="1:7" ht="11.25" customHeight="1">
      <c r="A183" t="s">
        <v>16</v>
      </c>
      <c t="s">
        <v>5576</v>
      </c>
      <c t="s">
        <v>5577</v>
      </c>
      <c t="s">
        <v>5594</v>
      </c>
      <c t="s">
        <v>5595</v>
      </c>
      <c t="s">
        <v>5124</v>
      </c>
      <c t="s">
        <v>5596</v>
      </c>
    </row>
    <row r="184" spans="1:7" ht="11.25" customHeight="1">
      <c r="A184" t="s">
        <v>16</v>
      </c>
      <c t="s">
        <v>5576</v>
      </c>
      <c t="s">
        <v>5577</v>
      </c>
      <c t="s">
        <v>5499</v>
      </c>
      <c t="s">
        <v>5597</v>
      </c>
      <c t="s">
        <v>5124</v>
      </c>
      <c t="s">
        <v>5598</v>
      </c>
    </row>
    <row r="185" spans="1:7" ht="11.25" customHeight="1">
      <c r="A185" t="s">
        <v>16</v>
      </c>
      <c t="s">
        <v>5576</v>
      </c>
      <c t="s">
        <v>5577</v>
      </c>
      <c t="s">
        <v>5599</v>
      </c>
      <c t="s">
        <v>5600</v>
      </c>
      <c t="s">
        <v>5124</v>
      </c>
      <c t="s">
        <v>5601</v>
      </c>
    </row>
    <row r="186" spans="1:7" ht="11.25" customHeight="1">
      <c r="A186" t="s">
        <v>16</v>
      </c>
      <c t="s">
        <v>5576</v>
      </c>
      <c t="s">
        <v>5577</v>
      </c>
      <c t="s">
        <v>5185</v>
      </c>
      <c t="s">
        <v>5602</v>
      </c>
      <c t="s">
        <v>5124</v>
      </c>
      <c t="s">
        <v>5603</v>
      </c>
    </row>
    <row r="187" spans="1:7" ht="11.25" customHeight="1">
      <c r="A187" t="s">
        <v>16</v>
      </c>
      <c t="s">
        <v>5576</v>
      </c>
      <c t="s">
        <v>5577</v>
      </c>
      <c t="s">
        <v>5604</v>
      </c>
      <c t="s">
        <v>5605</v>
      </c>
      <c t="s">
        <v>5124</v>
      </c>
      <c t="s">
        <v>5606</v>
      </c>
    </row>
    <row r="188" spans="1:7" ht="11.25" customHeight="1">
      <c r="A188" t="s">
        <v>16</v>
      </c>
      <c t="s">
        <v>5607</v>
      </c>
      <c t="s">
        <v>5608</v>
      </c>
      <c t="s">
        <v>5609</v>
      </c>
      <c t="s">
        <v>5610</v>
      </c>
      <c t="s">
        <v>5124</v>
      </c>
      <c t="s">
        <v>5611</v>
      </c>
    </row>
    <row r="189" spans="1:7" ht="11.25" customHeight="1">
      <c r="A189" t="s">
        <v>16</v>
      </c>
      <c t="s">
        <v>5607</v>
      </c>
      <c t="s">
        <v>5608</v>
      </c>
      <c t="s">
        <v>5612</v>
      </c>
      <c t="s">
        <v>5613</v>
      </c>
      <c t="s">
        <v>5124</v>
      </c>
      <c t="s">
        <v>5614</v>
      </c>
    </row>
    <row r="190" spans="1:7" ht="11.25" customHeight="1">
      <c r="A190" t="s">
        <v>16</v>
      </c>
      <c t="s">
        <v>5607</v>
      </c>
      <c t="s">
        <v>5608</v>
      </c>
      <c t="s">
        <v>5615</v>
      </c>
      <c t="s">
        <v>5616</v>
      </c>
      <c t="s">
        <v>5124</v>
      </c>
      <c t="s">
        <v>5617</v>
      </c>
    </row>
    <row r="191" spans="1:7" ht="11.25" customHeight="1">
      <c r="A191" t="s">
        <v>16</v>
      </c>
      <c t="s">
        <v>5607</v>
      </c>
      <c t="s">
        <v>5608</v>
      </c>
      <c t="s">
        <v>5618</v>
      </c>
      <c t="s">
        <v>5619</v>
      </c>
      <c t="s">
        <v>5124</v>
      </c>
      <c t="s">
        <v>5620</v>
      </c>
    </row>
    <row r="192" spans="1:7" ht="11.25" customHeight="1">
      <c r="A192" t="s">
        <v>16</v>
      </c>
      <c t="s">
        <v>5607</v>
      </c>
      <c t="s">
        <v>5608</v>
      </c>
      <c t="s">
        <v>5311</v>
      </c>
      <c t="s">
        <v>5621</v>
      </c>
      <c t="s">
        <v>5124</v>
      </c>
      <c t="s">
        <v>5622</v>
      </c>
    </row>
    <row r="193" spans="1:7" ht="11.25" customHeight="1">
      <c r="A193" t="s">
        <v>16</v>
      </c>
      <c t="s">
        <v>5607</v>
      </c>
      <c t="s">
        <v>5608</v>
      </c>
      <c t="s">
        <v>5607</v>
      </c>
      <c t="s">
        <v>5608</v>
      </c>
      <c t="s">
        <v>5115</v>
      </c>
      <c t="s">
        <v>5623</v>
      </c>
    </row>
    <row r="194" spans="1:7" ht="11.25" customHeight="1">
      <c r="A194" t="s">
        <v>16</v>
      </c>
      <c t="s">
        <v>5607</v>
      </c>
      <c t="s">
        <v>5608</v>
      </c>
      <c t="s">
        <v>5624</v>
      </c>
      <c t="s">
        <v>5625</v>
      </c>
      <c t="s">
        <v>5124</v>
      </c>
      <c t="s">
        <v>5626</v>
      </c>
    </row>
    <row r="195" spans="1:7" ht="11.25" customHeight="1">
      <c r="A195" t="s">
        <v>16</v>
      </c>
      <c t="s">
        <v>5607</v>
      </c>
      <c t="s">
        <v>5608</v>
      </c>
      <c t="s">
        <v>5627</v>
      </c>
      <c t="s">
        <v>5628</v>
      </c>
      <c t="s">
        <v>5124</v>
      </c>
      <c t="s">
        <v>5629</v>
      </c>
    </row>
    <row r="196" spans="1:7" ht="11.25" customHeight="1">
      <c r="A196" t="s">
        <v>16</v>
      </c>
      <c t="s">
        <v>5607</v>
      </c>
      <c t="s">
        <v>5608</v>
      </c>
      <c t="s">
        <v>5181</v>
      </c>
      <c t="s">
        <v>5630</v>
      </c>
      <c t="s">
        <v>5124</v>
      </c>
      <c t="s">
        <v>5631</v>
      </c>
    </row>
    <row r="197" spans="1:7" ht="11.25" customHeight="1">
      <c r="A197" t="s">
        <v>16</v>
      </c>
      <c t="s">
        <v>5607</v>
      </c>
      <c t="s">
        <v>5608</v>
      </c>
      <c t="s">
        <v>5632</v>
      </c>
      <c t="s">
        <v>5633</v>
      </c>
      <c t="s">
        <v>5124</v>
      </c>
      <c t="s">
        <v>5634</v>
      </c>
    </row>
    <row r="198" spans="1:7" ht="11.25" customHeight="1">
      <c r="A198" t="s">
        <v>16</v>
      </c>
      <c t="s">
        <v>5607</v>
      </c>
      <c t="s">
        <v>5608</v>
      </c>
      <c t="s">
        <v>5481</v>
      </c>
      <c t="s">
        <v>5635</v>
      </c>
      <c t="s">
        <v>5124</v>
      </c>
      <c t="s">
        <v>5636</v>
      </c>
    </row>
    <row r="199" spans="1:7" ht="11.25" customHeight="1">
      <c r="A199" t="s">
        <v>16</v>
      </c>
      <c t="s">
        <v>5607</v>
      </c>
      <c t="s">
        <v>5608</v>
      </c>
      <c t="s">
        <v>5637</v>
      </c>
      <c t="s">
        <v>5638</v>
      </c>
      <c t="s">
        <v>5124</v>
      </c>
      <c t="s">
        <v>5639</v>
      </c>
    </row>
    <row r="200" spans="1:7" ht="11.25" customHeight="1">
      <c r="A200" t="s">
        <v>16</v>
      </c>
      <c t="s">
        <v>5607</v>
      </c>
      <c t="s">
        <v>5608</v>
      </c>
      <c t="s">
        <v>5640</v>
      </c>
      <c t="s">
        <v>5641</v>
      </c>
      <c t="s">
        <v>5124</v>
      </c>
      <c t="s">
        <v>5642</v>
      </c>
    </row>
    <row r="201" spans="1:7" ht="11.25" customHeight="1">
      <c r="A201" t="s">
        <v>16</v>
      </c>
      <c t="s">
        <v>5643</v>
      </c>
      <c t="s">
        <v>5644</v>
      </c>
      <c t="s">
        <v>5645</v>
      </c>
      <c t="s">
        <v>5646</v>
      </c>
      <c t="s">
        <v>5124</v>
      </c>
      <c t="s">
        <v>5647</v>
      </c>
    </row>
    <row r="202" spans="1:7" ht="11.25" customHeight="1">
      <c r="A202" t="s">
        <v>16</v>
      </c>
      <c t="s">
        <v>5643</v>
      </c>
      <c t="s">
        <v>5644</v>
      </c>
      <c t="s">
        <v>5648</v>
      </c>
      <c t="s">
        <v>5649</v>
      </c>
      <c t="s">
        <v>5124</v>
      </c>
      <c t="s">
        <v>5650</v>
      </c>
    </row>
    <row r="203" spans="1:7" ht="11.25" customHeight="1">
      <c r="A203" t="s">
        <v>16</v>
      </c>
      <c t="s">
        <v>5643</v>
      </c>
      <c t="s">
        <v>5644</v>
      </c>
      <c t="s">
        <v>5651</v>
      </c>
      <c t="s">
        <v>5652</v>
      </c>
      <c t="s">
        <v>5124</v>
      </c>
      <c t="s">
        <v>5653</v>
      </c>
    </row>
    <row r="204" spans="1:7" ht="11.25" customHeight="1">
      <c r="A204" t="s">
        <v>16</v>
      </c>
      <c t="s">
        <v>5643</v>
      </c>
      <c t="s">
        <v>5644</v>
      </c>
      <c t="s">
        <v>5654</v>
      </c>
      <c t="s">
        <v>5655</v>
      </c>
      <c t="s">
        <v>5124</v>
      </c>
      <c t="s">
        <v>5656</v>
      </c>
    </row>
    <row r="205" spans="1:7" ht="11.25" customHeight="1">
      <c r="A205" t="s">
        <v>16</v>
      </c>
      <c t="s">
        <v>5643</v>
      </c>
      <c t="s">
        <v>5644</v>
      </c>
      <c t="s">
        <v>5657</v>
      </c>
      <c t="s">
        <v>5658</v>
      </c>
      <c t="s">
        <v>5124</v>
      </c>
      <c t="s">
        <v>5659</v>
      </c>
    </row>
    <row r="206" spans="1:7" ht="11.25" customHeight="1">
      <c r="A206" t="s">
        <v>16</v>
      </c>
      <c t="s">
        <v>5643</v>
      </c>
      <c t="s">
        <v>5644</v>
      </c>
      <c t="s">
        <v>5643</v>
      </c>
      <c t="s">
        <v>5644</v>
      </c>
      <c t="s">
        <v>5115</v>
      </c>
      <c t="s">
        <v>5660</v>
      </c>
    </row>
    <row r="207" spans="1:7" ht="11.25" customHeight="1">
      <c r="A207" t="s">
        <v>16</v>
      </c>
      <c t="s">
        <v>5643</v>
      </c>
      <c t="s">
        <v>5644</v>
      </c>
      <c t="s">
        <v>5661</v>
      </c>
      <c t="s">
        <v>5662</v>
      </c>
      <c t="s">
        <v>5118</v>
      </c>
      <c t="s">
        <v>5663</v>
      </c>
    </row>
    <row r="208" spans="1:7" ht="11.25" customHeight="1">
      <c r="A208" t="s">
        <v>16</v>
      </c>
      <c t="s">
        <v>5643</v>
      </c>
      <c t="s">
        <v>5644</v>
      </c>
      <c t="s">
        <v>5664</v>
      </c>
      <c t="s">
        <v>5665</v>
      </c>
      <c t="s">
        <v>5124</v>
      </c>
      <c t="s">
        <v>5666</v>
      </c>
    </row>
    <row r="209" spans="1:7" ht="11.25" customHeight="1">
      <c r="A209" t="s">
        <v>16</v>
      </c>
      <c t="s">
        <v>5643</v>
      </c>
      <c t="s">
        <v>5644</v>
      </c>
      <c t="s">
        <v>5667</v>
      </c>
      <c t="s">
        <v>5668</v>
      </c>
      <c t="s">
        <v>5124</v>
      </c>
      <c t="s">
        <v>5669</v>
      </c>
    </row>
    <row r="210" spans="1:7" ht="11.25" customHeight="1">
      <c r="A210" t="s">
        <v>16</v>
      </c>
      <c t="s">
        <v>5643</v>
      </c>
      <c t="s">
        <v>5644</v>
      </c>
      <c t="s">
        <v>5670</v>
      </c>
      <c t="s">
        <v>5671</v>
      </c>
      <c t="s">
        <v>5124</v>
      </c>
      <c t="s">
        <v>5672</v>
      </c>
    </row>
    <row r="211" spans="1:7" ht="11.25" customHeight="1">
      <c r="A211" t="s">
        <v>16</v>
      </c>
      <c t="s">
        <v>5643</v>
      </c>
      <c t="s">
        <v>5644</v>
      </c>
      <c t="s">
        <v>5673</v>
      </c>
      <c t="s">
        <v>5674</v>
      </c>
      <c t="s">
        <v>5124</v>
      </c>
      <c t="s">
        <v>5675</v>
      </c>
    </row>
    <row r="212" spans="1:7" ht="11.25" customHeight="1">
      <c r="A212" t="s">
        <v>16</v>
      </c>
      <c t="s">
        <v>5643</v>
      </c>
      <c t="s">
        <v>5644</v>
      </c>
      <c t="s">
        <v>5676</v>
      </c>
      <c t="s">
        <v>5677</v>
      </c>
      <c t="s">
        <v>5124</v>
      </c>
      <c t="s">
        <v>5678</v>
      </c>
    </row>
    <row r="213" spans="1:7" ht="11.25" customHeight="1">
      <c r="A213" t="s">
        <v>16</v>
      </c>
      <c t="s">
        <v>5643</v>
      </c>
      <c t="s">
        <v>5644</v>
      </c>
      <c t="s">
        <v>5679</v>
      </c>
      <c t="s">
        <v>5680</v>
      </c>
      <c t="s">
        <v>5124</v>
      </c>
      <c t="s">
        <v>5681</v>
      </c>
    </row>
    <row r="214" spans="1:7" ht="11.25" customHeight="1">
      <c r="A214" t="s">
        <v>16</v>
      </c>
      <c t="s">
        <v>5643</v>
      </c>
      <c t="s">
        <v>5644</v>
      </c>
      <c t="s">
        <v>5682</v>
      </c>
      <c t="s">
        <v>5683</v>
      </c>
      <c t="s">
        <v>5124</v>
      </c>
      <c t="s">
        <v>5684</v>
      </c>
    </row>
    <row r="215" spans="1:7" ht="11.25" customHeight="1">
      <c r="A215" t="s">
        <v>16</v>
      </c>
      <c t="s">
        <v>5685</v>
      </c>
      <c t="s">
        <v>5686</v>
      </c>
      <c t="s">
        <v>5687</v>
      </c>
      <c t="s">
        <v>5688</v>
      </c>
      <c t="s">
        <v>5124</v>
      </c>
      <c t="s">
        <v>5689</v>
      </c>
    </row>
    <row r="216" spans="1:7" ht="11.25" customHeight="1">
      <c r="A216" t="s">
        <v>16</v>
      </c>
      <c t="s">
        <v>5685</v>
      </c>
      <c t="s">
        <v>5686</v>
      </c>
      <c t="s">
        <v>5690</v>
      </c>
      <c t="s">
        <v>5691</v>
      </c>
      <c t="s">
        <v>5124</v>
      </c>
      <c t="s">
        <v>5692</v>
      </c>
    </row>
    <row r="217" spans="1:7" ht="11.25" customHeight="1">
      <c r="A217" t="s">
        <v>16</v>
      </c>
      <c t="s">
        <v>5685</v>
      </c>
      <c t="s">
        <v>5686</v>
      </c>
      <c t="s">
        <v>5693</v>
      </c>
      <c t="s">
        <v>5694</v>
      </c>
      <c t="s">
        <v>5124</v>
      </c>
      <c t="s">
        <v>5695</v>
      </c>
    </row>
    <row r="218" spans="1:7" ht="11.25" customHeight="1">
      <c r="A218" t="s">
        <v>16</v>
      </c>
      <c t="s">
        <v>5685</v>
      </c>
      <c t="s">
        <v>5686</v>
      </c>
      <c t="s">
        <v>5696</v>
      </c>
      <c t="s">
        <v>5697</v>
      </c>
      <c t="s">
        <v>5124</v>
      </c>
      <c t="s">
        <v>5698</v>
      </c>
    </row>
    <row r="219" spans="1:7" ht="11.25" customHeight="1">
      <c r="A219" t="s">
        <v>16</v>
      </c>
      <c t="s">
        <v>5685</v>
      </c>
      <c t="s">
        <v>5686</v>
      </c>
      <c t="s">
        <v>5523</v>
      </c>
      <c t="s">
        <v>5699</v>
      </c>
      <c t="s">
        <v>5124</v>
      </c>
      <c t="s">
        <v>5700</v>
      </c>
    </row>
    <row r="220" spans="1:7" ht="11.25" customHeight="1">
      <c r="A220" t="s">
        <v>16</v>
      </c>
      <c t="s">
        <v>5685</v>
      </c>
      <c t="s">
        <v>5686</v>
      </c>
      <c t="s">
        <v>5701</v>
      </c>
      <c t="s">
        <v>5702</v>
      </c>
      <c t="s">
        <v>5124</v>
      </c>
      <c t="s">
        <v>5703</v>
      </c>
    </row>
    <row r="221" spans="1:7" ht="11.25" customHeight="1">
      <c r="A221" t="s">
        <v>16</v>
      </c>
      <c t="s">
        <v>5685</v>
      </c>
      <c t="s">
        <v>5686</v>
      </c>
      <c t="s">
        <v>5685</v>
      </c>
      <c t="s">
        <v>5686</v>
      </c>
      <c t="s">
        <v>5115</v>
      </c>
      <c t="s">
        <v>5704</v>
      </c>
    </row>
    <row r="222" spans="1:7" ht="11.25" customHeight="1">
      <c r="A222" t="s">
        <v>16</v>
      </c>
      <c t="s">
        <v>5685</v>
      </c>
      <c t="s">
        <v>5686</v>
      </c>
      <c t="s">
        <v>5705</v>
      </c>
      <c t="s">
        <v>5706</v>
      </c>
      <c t="s">
        <v>5124</v>
      </c>
      <c t="s">
        <v>5707</v>
      </c>
    </row>
    <row r="223" spans="1:7" ht="11.25" customHeight="1">
      <c r="A223" t="s">
        <v>16</v>
      </c>
      <c t="s">
        <v>5685</v>
      </c>
      <c t="s">
        <v>5686</v>
      </c>
      <c t="s">
        <v>5708</v>
      </c>
      <c t="s">
        <v>5709</v>
      </c>
      <c t="s">
        <v>5124</v>
      </c>
      <c t="s">
        <v>5710</v>
      </c>
    </row>
    <row r="224" spans="1:7" ht="11.25" customHeight="1">
      <c r="A224" t="s">
        <v>16</v>
      </c>
      <c t="s">
        <v>5685</v>
      </c>
      <c t="s">
        <v>5686</v>
      </c>
      <c t="s">
        <v>5711</v>
      </c>
      <c t="s">
        <v>5712</v>
      </c>
      <c t="s">
        <v>5124</v>
      </c>
      <c t="s">
        <v>5713</v>
      </c>
    </row>
    <row r="225" spans="1:7" ht="11.25" customHeight="1">
      <c r="A225" t="s">
        <v>16</v>
      </c>
      <c t="s">
        <v>5685</v>
      </c>
      <c t="s">
        <v>5686</v>
      </c>
      <c t="s">
        <v>5714</v>
      </c>
      <c t="s">
        <v>5715</v>
      </c>
      <c t="s">
        <v>5124</v>
      </c>
      <c t="s">
        <v>5716</v>
      </c>
    </row>
    <row r="226" spans="1:7" ht="11.25" customHeight="1">
      <c r="A226" t="s">
        <v>16</v>
      </c>
      <c t="s">
        <v>5685</v>
      </c>
      <c t="s">
        <v>5686</v>
      </c>
      <c t="s">
        <v>5181</v>
      </c>
      <c t="s">
        <v>5717</v>
      </c>
      <c t="s">
        <v>5124</v>
      </c>
      <c t="s">
        <v>5718</v>
      </c>
    </row>
    <row r="227" spans="1:7" ht="11.25" customHeight="1">
      <c r="A227" t="s">
        <v>16</v>
      </c>
      <c t="s">
        <v>5685</v>
      </c>
      <c t="s">
        <v>5686</v>
      </c>
      <c t="s">
        <v>5719</v>
      </c>
      <c t="s">
        <v>5720</v>
      </c>
      <c t="s">
        <v>5124</v>
      </c>
      <c t="s">
        <v>5721</v>
      </c>
    </row>
    <row r="228" spans="1:7" ht="11.25" customHeight="1">
      <c r="A228" t="s">
        <v>16</v>
      </c>
      <c t="s">
        <v>5722</v>
      </c>
      <c t="s">
        <v>5723</v>
      </c>
      <c t="s">
        <v>5724</v>
      </c>
      <c t="s">
        <v>5725</v>
      </c>
      <c t="s">
        <v>5124</v>
      </c>
      <c t="s">
        <v>5726</v>
      </c>
    </row>
    <row r="229" spans="1:7" ht="11.25" customHeight="1">
      <c r="A229" t="s">
        <v>16</v>
      </c>
      <c t="s">
        <v>5722</v>
      </c>
      <c t="s">
        <v>5723</v>
      </c>
      <c t="s">
        <v>5727</v>
      </c>
      <c t="s">
        <v>5728</v>
      </c>
      <c t="s">
        <v>5124</v>
      </c>
      <c t="s">
        <v>5729</v>
      </c>
    </row>
    <row r="230" spans="1:7" ht="11.25" customHeight="1">
      <c r="A230" t="s">
        <v>16</v>
      </c>
      <c t="s">
        <v>5722</v>
      </c>
      <c t="s">
        <v>5723</v>
      </c>
      <c t="s">
        <v>5730</v>
      </c>
      <c t="s">
        <v>5731</v>
      </c>
      <c t="s">
        <v>5124</v>
      </c>
      <c t="s">
        <v>5732</v>
      </c>
    </row>
    <row r="231" spans="1:7" ht="11.25" customHeight="1">
      <c r="A231" t="s">
        <v>16</v>
      </c>
      <c t="s">
        <v>5722</v>
      </c>
      <c t="s">
        <v>5723</v>
      </c>
      <c t="s">
        <v>5733</v>
      </c>
      <c t="s">
        <v>5734</v>
      </c>
      <c t="s">
        <v>5124</v>
      </c>
      <c t="s">
        <v>5735</v>
      </c>
    </row>
    <row r="232" spans="1:7" ht="11.25" customHeight="1">
      <c r="A232" t="s">
        <v>16</v>
      </c>
      <c t="s">
        <v>5722</v>
      </c>
      <c t="s">
        <v>5723</v>
      </c>
      <c t="s">
        <v>5736</v>
      </c>
      <c t="s">
        <v>5737</v>
      </c>
      <c t="s">
        <v>5124</v>
      </c>
      <c t="s">
        <v>5738</v>
      </c>
    </row>
    <row r="233" spans="1:7" ht="11.25" customHeight="1">
      <c r="A233" t="s">
        <v>16</v>
      </c>
      <c t="s">
        <v>5722</v>
      </c>
      <c t="s">
        <v>5723</v>
      </c>
      <c t="s">
        <v>5739</v>
      </c>
      <c t="s">
        <v>5740</v>
      </c>
      <c t="s">
        <v>5124</v>
      </c>
      <c t="s">
        <v>5741</v>
      </c>
    </row>
    <row r="234" spans="1:7" ht="11.25" customHeight="1">
      <c r="A234" t="s">
        <v>16</v>
      </c>
      <c t="s">
        <v>5722</v>
      </c>
      <c t="s">
        <v>5723</v>
      </c>
      <c t="s">
        <v>5742</v>
      </c>
      <c t="s">
        <v>5743</v>
      </c>
      <c t="s">
        <v>5124</v>
      </c>
      <c t="s">
        <v>5744</v>
      </c>
    </row>
    <row r="235" spans="1:7" ht="11.25" customHeight="1">
      <c r="A235" t="s">
        <v>16</v>
      </c>
      <c t="s">
        <v>5722</v>
      </c>
      <c t="s">
        <v>5723</v>
      </c>
      <c t="s">
        <v>5745</v>
      </c>
      <c t="s">
        <v>5746</v>
      </c>
      <c t="s">
        <v>5124</v>
      </c>
      <c t="s">
        <v>5747</v>
      </c>
    </row>
    <row r="236" spans="1:7" ht="11.25" customHeight="1">
      <c r="A236" t="s">
        <v>16</v>
      </c>
      <c t="s">
        <v>5722</v>
      </c>
      <c t="s">
        <v>5723</v>
      </c>
      <c t="s">
        <v>5722</v>
      </c>
      <c t="s">
        <v>5723</v>
      </c>
      <c t="s">
        <v>5115</v>
      </c>
      <c t="s">
        <v>5748</v>
      </c>
    </row>
    <row r="237" spans="1:7" ht="11.25" customHeight="1">
      <c r="A237" t="s">
        <v>16</v>
      </c>
      <c t="s">
        <v>5722</v>
      </c>
      <c t="s">
        <v>5723</v>
      </c>
      <c t="s">
        <v>5749</v>
      </c>
      <c t="s">
        <v>5750</v>
      </c>
      <c t="s">
        <v>5121</v>
      </c>
      <c t="s">
        <v>5751</v>
      </c>
    </row>
    <row r="238" spans="1:7" ht="11.25" customHeight="1">
      <c r="A238" t="s">
        <v>16</v>
      </c>
      <c t="s">
        <v>5722</v>
      </c>
      <c t="s">
        <v>5723</v>
      </c>
      <c t="s">
        <v>5752</v>
      </c>
      <c t="s">
        <v>5753</v>
      </c>
      <c t="s">
        <v>5124</v>
      </c>
      <c t="s">
        <v>5754</v>
      </c>
    </row>
    <row r="239" spans="1:7" ht="11.25" customHeight="1">
      <c r="A239" t="s">
        <v>16</v>
      </c>
      <c t="s">
        <v>5722</v>
      </c>
      <c t="s">
        <v>5723</v>
      </c>
      <c t="s">
        <v>5755</v>
      </c>
      <c t="s">
        <v>5756</v>
      </c>
      <c t="s">
        <v>5121</v>
      </c>
      <c t="s">
        <v>5757</v>
      </c>
    </row>
    <row r="240" spans="1:7" ht="11.25" customHeight="1">
      <c r="A240" t="s">
        <v>16</v>
      </c>
      <c t="s">
        <v>5722</v>
      </c>
      <c t="s">
        <v>5723</v>
      </c>
      <c t="s">
        <v>5758</v>
      </c>
      <c t="s">
        <v>5759</v>
      </c>
      <c t="s">
        <v>5124</v>
      </c>
      <c t="s">
        <v>5760</v>
      </c>
    </row>
    <row r="241" spans="1:7" ht="11.25" customHeight="1">
      <c r="A241" t="s">
        <v>16</v>
      </c>
      <c t="s">
        <v>5722</v>
      </c>
      <c t="s">
        <v>5723</v>
      </c>
      <c t="s">
        <v>5761</v>
      </c>
      <c t="s">
        <v>5762</v>
      </c>
      <c t="s">
        <v>5124</v>
      </c>
      <c t="s">
        <v>5763</v>
      </c>
    </row>
    <row r="242" spans="1:7" ht="11.25" customHeight="1">
      <c r="A242" t="s">
        <v>16</v>
      </c>
      <c t="s">
        <v>5722</v>
      </c>
      <c t="s">
        <v>5723</v>
      </c>
      <c t="s">
        <v>5764</v>
      </c>
      <c t="s">
        <v>5765</v>
      </c>
      <c t="s">
        <v>5124</v>
      </c>
      <c t="s">
        <v>5766</v>
      </c>
    </row>
    <row r="243" spans="1:7" ht="11.25" customHeight="1">
      <c r="A243" t="s">
        <v>16</v>
      </c>
      <c t="s">
        <v>5767</v>
      </c>
      <c t="s">
        <v>5768</v>
      </c>
      <c t="s">
        <v>5769</v>
      </c>
      <c t="s">
        <v>5770</v>
      </c>
      <c t="s">
        <v>5124</v>
      </c>
      <c t="s">
        <v>5771</v>
      </c>
    </row>
    <row r="244" spans="1:7" ht="11.25" customHeight="1">
      <c r="A244" t="s">
        <v>16</v>
      </c>
      <c t="s">
        <v>5767</v>
      </c>
      <c t="s">
        <v>5768</v>
      </c>
      <c t="s">
        <v>5772</v>
      </c>
      <c t="s">
        <v>5773</v>
      </c>
      <c t="s">
        <v>5124</v>
      </c>
      <c t="s">
        <v>5774</v>
      </c>
    </row>
    <row r="245" spans="1:7" ht="11.25" customHeight="1">
      <c r="A245" t="s">
        <v>16</v>
      </c>
      <c t="s">
        <v>5767</v>
      </c>
      <c t="s">
        <v>5768</v>
      </c>
      <c t="s">
        <v>5775</v>
      </c>
      <c t="s">
        <v>5776</v>
      </c>
      <c t="s">
        <v>5124</v>
      </c>
      <c t="s">
        <v>5777</v>
      </c>
    </row>
    <row r="246" spans="1:7" ht="11.25" customHeight="1">
      <c r="A246" t="s">
        <v>16</v>
      </c>
      <c t="s">
        <v>5767</v>
      </c>
      <c t="s">
        <v>5768</v>
      </c>
      <c t="s">
        <v>5778</v>
      </c>
      <c t="s">
        <v>5779</v>
      </c>
      <c t="s">
        <v>5124</v>
      </c>
      <c t="s">
        <v>5780</v>
      </c>
    </row>
    <row r="247" spans="1:7" ht="11.25" customHeight="1">
      <c r="A247" t="s">
        <v>16</v>
      </c>
      <c t="s">
        <v>5767</v>
      </c>
      <c t="s">
        <v>5768</v>
      </c>
      <c t="s">
        <v>5767</v>
      </c>
      <c t="s">
        <v>5768</v>
      </c>
      <c t="s">
        <v>5115</v>
      </c>
      <c t="s">
        <v>5781</v>
      </c>
    </row>
    <row r="248" spans="1:7" ht="11.25" customHeight="1">
      <c r="A248" t="s">
        <v>16</v>
      </c>
      <c t="s">
        <v>5767</v>
      </c>
      <c t="s">
        <v>5768</v>
      </c>
      <c t="s">
        <v>5782</v>
      </c>
      <c t="s">
        <v>5783</v>
      </c>
      <c t="s">
        <v>5118</v>
      </c>
      <c t="s">
        <v>5784</v>
      </c>
    </row>
    <row r="249" spans="1:7" ht="11.25" customHeight="1">
      <c r="A249" t="s">
        <v>16</v>
      </c>
      <c t="s">
        <v>5767</v>
      </c>
      <c t="s">
        <v>5768</v>
      </c>
      <c t="s">
        <v>5204</v>
      </c>
      <c t="s">
        <v>5785</v>
      </c>
      <c t="s">
        <v>5124</v>
      </c>
      <c t="s">
        <v>5786</v>
      </c>
    </row>
    <row r="250" spans="1:7" ht="11.25" customHeight="1">
      <c r="A250" t="s">
        <v>16</v>
      </c>
      <c t="s">
        <v>5767</v>
      </c>
      <c t="s">
        <v>5768</v>
      </c>
      <c t="s">
        <v>5787</v>
      </c>
      <c t="s">
        <v>5788</v>
      </c>
      <c t="s">
        <v>5124</v>
      </c>
      <c t="s">
        <v>5789</v>
      </c>
    </row>
    <row r="251" spans="1:7" ht="11.25" customHeight="1">
      <c r="A251" t="s">
        <v>16</v>
      </c>
      <c t="s">
        <v>5767</v>
      </c>
      <c t="s">
        <v>5768</v>
      </c>
      <c t="s">
        <v>5790</v>
      </c>
      <c t="s">
        <v>5791</v>
      </c>
      <c t="s">
        <v>5124</v>
      </c>
      <c t="s">
        <v>5792</v>
      </c>
    </row>
    <row r="252" spans="1:7" ht="11.25" customHeight="1">
      <c r="A252" t="s">
        <v>16</v>
      </c>
      <c t="s">
        <v>5767</v>
      </c>
      <c t="s">
        <v>5768</v>
      </c>
      <c t="s">
        <v>5793</v>
      </c>
      <c t="s">
        <v>5794</v>
      </c>
      <c t="s">
        <v>5124</v>
      </c>
      <c t="s">
        <v>5795</v>
      </c>
    </row>
    <row r="253" spans="1:7" ht="11.25" customHeight="1">
      <c r="A253" t="s">
        <v>16</v>
      </c>
      <c t="s">
        <v>5796</v>
      </c>
      <c t="s">
        <v>5797</v>
      </c>
      <c t="s">
        <v>5798</v>
      </c>
      <c t="s">
        <v>5799</v>
      </c>
      <c t="s">
        <v>5124</v>
      </c>
      <c t="s">
        <v>5800</v>
      </c>
    </row>
    <row r="254" spans="1:7" ht="11.25" customHeight="1">
      <c r="A254" t="s">
        <v>16</v>
      </c>
      <c t="s">
        <v>5796</v>
      </c>
      <c t="s">
        <v>5797</v>
      </c>
      <c t="s">
        <v>5612</v>
      </c>
      <c t="s">
        <v>5801</v>
      </c>
      <c t="s">
        <v>5124</v>
      </c>
      <c t="s">
        <v>5802</v>
      </c>
    </row>
    <row r="255" spans="1:7" ht="11.25" customHeight="1">
      <c r="A255" t="s">
        <v>16</v>
      </c>
      <c t="s">
        <v>5796</v>
      </c>
      <c t="s">
        <v>5797</v>
      </c>
      <c t="s">
        <v>5803</v>
      </c>
      <c t="s">
        <v>5804</v>
      </c>
      <c t="s">
        <v>5124</v>
      </c>
      <c t="s">
        <v>5805</v>
      </c>
    </row>
    <row r="256" spans="1:7" ht="11.25" customHeight="1">
      <c r="A256" t="s">
        <v>16</v>
      </c>
      <c t="s">
        <v>5796</v>
      </c>
      <c t="s">
        <v>5797</v>
      </c>
      <c t="s">
        <v>5141</v>
      </c>
      <c t="s">
        <v>5806</v>
      </c>
      <c t="s">
        <v>5124</v>
      </c>
      <c t="s">
        <v>5807</v>
      </c>
    </row>
    <row r="257" spans="1:7" ht="11.25" customHeight="1">
      <c r="A257" t="s">
        <v>16</v>
      </c>
      <c t="s">
        <v>5796</v>
      </c>
      <c t="s">
        <v>5797</v>
      </c>
      <c t="s">
        <v>5808</v>
      </c>
      <c t="s">
        <v>5809</v>
      </c>
      <c t="s">
        <v>5124</v>
      </c>
      <c t="s">
        <v>5810</v>
      </c>
    </row>
    <row r="258" spans="1:7" ht="11.25" customHeight="1">
      <c r="A258" t="s">
        <v>16</v>
      </c>
      <c t="s">
        <v>5796</v>
      </c>
      <c t="s">
        <v>5797</v>
      </c>
      <c t="s">
        <v>5811</v>
      </c>
      <c t="s">
        <v>5812</v>
      </c>
      <c t="s">
        <v>5124</v>
      </c>
      <c t="s">
        <v>5813</v>
      </c>
    </row>
    <row r="259" spans="1:7" ht="11.25" customHeight="1">
      <c r="A259" t="s">
        <v>16</v>
      </c>
      <c t="s">
        <v>5796</v>
      </c>
      <c t="s">
        <v>5797</v>
      </c>
      <c t="s">
        <v>5796</v>
      </c>
      <c t="s">
        <v>5797</v>
      </c>
      <c t="s">
        <v>5115</v>
      </c>
      <c t="s">
        <v>5814</v>
      </c>
    </row>
    <row r="260" spans="1:7" ht="11.25" customHeight="1">
      <c r="A260" t="s">
        <v>16</v>
      </c>
      <c t="s">
        <v>5796</v>
      </c>
      <c t="s">
        <v>5797</v>
      </c>
      <c t="s">
        <v>5815</v>
      </c>
      <c t="s">
        <v>5816</v>
      </c>
      <c t="s">
        <v>5124</v>
      </c>
      <c t="s">
        <v>5817</v>
      </c>
    </row>
    <row r="261" spans="1:7" ht="11.25" customHeight="1">
      <c r="A261" t="s">
        <v>16</v>
      </c>
      <c t="s">
        <v>5796</v>
      </c>
      <c t="s">
        <v>5797</v>
      </c>
      <c t="s">
        <v>5818</v>
      </c>
      <c t="s">
        <v>5819</v>
      </c>
      <c t="s">
        <v>5124</v>
      </c>
      <c t="s">
        <v>5820</v>
      </c>
    </row>
    <row r="262" spans="1:7" ht="11.25" customHeight="1">
      <c r="A262" t="s">
        <v>16</v>
      </c>
      <c t="s">
        <v>5821</v>
      </c>
      <c t="s">
        <v>5822</v>
      </c>
      <c t="s">
        <v>5823</v>
      </c>
      <c t="s">
        <v>5824</v>
      </c>
      <c t="s">
        <v>5124</v>
      </c>
      <c t="s">
        <v>5825</v>
      </c>
    </row>
    <row r="263" spans="1:7" ht="11.25" customHeight="1">
      <c r="A263" t="s">
        <v>16</v>
      </c>
      <c t="s">
        <v>5821</v>
      </c>
      <c t="s">
        <v>5822</v>
      </c>
      <c t="s">
        <v>5826</v>
      </c>
      <c t="s">
        <v>5827</v>
      </c>
      <c t="s">
        <v>5124</v>
      </c>
      <c t="s">
        <v>5828</v>
      </c>
    </row>
    <row r="264" spans="1:7" ht="11.25" customHeight="1">
      <c r="A264" t="s">
        <v>16</v>
      </c>
      <c t="s">
        <v>5821</v>
      </c>
      <c t="s">
        <v>5822</v>
      </c>
      <c t="s">
        <v>5430</v>
      </c>
      <c t="s">
        <v>5829</v>
      </c>
      <c t="s">
        <v>5124</v>
      </c>
      <c t="s">
        <v>5830</v>
      </c>
    </row>
    <row r="265" spans="1:7" ht="11.25" customHeight="1">
      <c r="A265" t="s">
        <v>16</v>
      </c>
      <c t="s">
        <v>5821</v>
      </c>
      <c t="s">
        <v>5822</v>
      </c>
      <c t="s">
        <v>5831</v>
      </c>
      <c t="s">
        <v>5832</v>
      </c>
      <c t="s">
        <v>5124</v>
      </c>
      <c t="s">
        <v>5833</v>
      </c>
    </row>
    <row r="266" spans="1:7" ht="11.25" customHeight="1">
      <c r="A266" t="s">
        <v>16</v>
      </c>
      <c t="s">
        <v>5821</v>
      </c>
      <c t="s">
        <v>5822</v>
      </c>
      <c t="s">
        <v>5834</v>
      </c>
      <c t="s">
        <v>5835</v>
      </c>
      <c t="s">
        <v>5124</v>
      </c>
      <c t="s">
        <v>5836</v>
      </c>
    </row>
    <row r="267" spans="1:7" ht="11.25" customHeight="1">
      <c r="A267" t="s">
        <v>16</v>
      </c>
      <c t="s">
        <v>5821</v>
      </c>
      <c t="s">
        <v>5822</v>
      </c>
      <c t="s">
        <v>5837</v>
      </c>
      <c t="s">
        <v>5838</v>
      </c>
      <c t="s">
        <v>5124</v>
      </c>
      <c t="s">
        <v>5839</v>
      </c>
    </row>
    <row r="268" spans="1:7" ht="11.25" customHeight="1">
      <c r="A268" t="s">
        <v>16</v>
      </c>
      <c t="s">
        <v>5821</v>
      </c>
      <c t="s">
        <v>5822</v>
      </c>
      <c t="s">
        <v>5821</v>
      </c>
      <c t="s">
        <v>5822</v>
      </c>
      <c t="s">
        <v>5115</v>
      </c>
      <c t="s">
        <v>5840</v>
      </c>
    </row>
    <row r="269" spans="1:7" ht="11.25" customHeight="1">
      <c r="A269" t="s">
        <v>16</v>
      </c>
      <c t="s">
        <v>5821</v>
      </c>
      <c t="s">
        <v>5822</v>
      </c>
      <c t="s">
        <v>5841</v>
      </c>
      <c t="s">
        <v>5842</v>
      </c>
      <c t="s">
        <v>5124</v>
      </c>
      <c t="s">
        <v>5843</v>
      </c>
    </row>
    <row r="270" spans="1:7" ht="11.25" customHeight="1">
      <c r="A270" t="s">
        <v>16</v>
      </c>
      <c t="s">
        <v>5821</v>
      </c>
      <c t="s">
        <v>5822</v>
      </c>
      <c t="s">
        <v>5844</v>
      </c>
      <c t="s">
        <v>5845</v>
      </c>
      <c t="s">
        <v>5124</v>
      </c>
      <c t="s">
        <v>5846</v>
      </c>
    </row>
    <row r="271" spans="1:7" ht="11.25" customHeight="1">
      <c r="A271" t="s">
        <v>16</v>
      </c>
      <c t="s">
        <v>5821</v>
      </c>
      <c t="s">
        <v>5822</v>
      </c>
      <c t="s">
        <v>5847</v>
      </c>
      <c t="s">
        <v>5848</v>
      </c>
      <c t="s">
        <v>5124</v>
      </c>
      <c t="s">
        <v>5849</v>
      </c>
    </row>
    <row r="272" spans="1:7" ht="11.25" customHeight="1">
      <c r="A272" t="s">
        <v>16</v>
      </c>
      <c t="s">
        <v>5821</v>
      </c>
      <c t="s">
        <v>5822</v>
      </c>
      <c t="s">
        <v>5850</v>
      </c>
      <c t="s">
        <v>5851</v>
      </c>
      <c t="s">
        <v>5124</v>
      </c>
      <c t="s">
        <v>5852</v>
      </c>
    </row>
    <row r="273" spans="1:7" ht="11.25" customHeight="1">
      <c r="A273" t="s">
        <v>16</v>
      </c>
      <c t="s">
        <v>5821</v>
      </c>
      <c t="s">
        <v>5822</v>
      </c>
      <c t="s">
        <v>5853</v>
      </c>
      <c t="s">
        <v>5854</v>
      </c>
      <c t="s">
        <v>5124</v>
      </c>
      <c t="s">
        <v>5855</v>
      </c>
    </row>
    <row r="274" spans="1:7" ht="11.25" customHeight="1">
      <c r="A274" t="s">
        <v>16</v>
      </c>
      <c t="s">
        <v>5821</v>
      </c>
      <c t="s">
        <v>5822</v>
      </c>
      <c t="s">
        <v>5856</v>
      </c>
      <c t="s">
        <v>5857</v>
      </c>
      <c t="s">
        <v>5124</v>
      </c>
      <c t="s">
        <v>5858</v>
      </c>
    </row>
    <row r="275" spans="1:7" ht="11.25" customHeight="1">
      <c r="A275" t="s">
        <v>16</v>
      </c>
      <c t="s">
        <v>5821</v>
      </c>
      <c t="s">
        <v>5822</v>
      </c>
      <c t="s">
        <v>5859</v>
      </c>
      <c t="s">
        <v>5860</v>
      </c>
      <c t="s">
        <v>5124</v>
      </c>
      <c t="s">
        <v>5861</v>
      </c>
    </row>
    <row r="276" spans="1:7" ht="11.25" customHeight="1">
      <c r="A276" t="s">
        <v>16</v>
      </c>
      <c t="s">
        <v>5821</v>
      </c>
      <c t="s">
        <v>5822</v>
      </c>
      <c t="s">
        <v>5862</v>
      </c>
      <c t="s">
        <v>5863</v>
      </c>
      <c t="s">
        <v>5124</v>
      </c>
      <c t="s">
        <v>5864</v>
      </c>
    </row>
    <row r="277" spans="1:7" ht="11.25" customHeight="1">
      <c r="A277" t="s">
        <v>16</v>
      </c>
      <c t="s">
        <v>5865</v>
      </c>
      <c t="s">
        <v>5866</v>
      </c>
      <c t="s">
        <v>5867</v>
      </c>
      <c t="s">
        <v>5868</v>
      </c>
      <c t="s">
        <v>5124</v>
      </c>
      <c t="s">
        <v>5869</v>
      </c>
    </row>
    <row r="278" spans="1:7" ht="11.25" customHeight="1">
      <c r="A278" t="s">
        <v>16</v>
      </c>
      <c t="s">
        <v>5865</v>
      </c>
      <c t="s">
        <v>5866</v>
      </c>
      <c t="s">
        <v>5870</v>
      </c>
      <c t="s">
        <v>5871</v>
      </c>
      <c t="s">
        <v>5124</v>
      </c>
      <c t="s">
        <v>5872</v>
      </c>
    </row>
    <row r="279" spans="1:7" ht="11.25" customHeight="1">
      <c r="A279" t="s">
        <v>16</v>
      </c>
      <c t="s">
        <v>5865</v>
      </c>
      <c t="s">
        <v>5866</v>
      </c>
      <c t="s">
        <v>5808</v>
      </c>
      <c t="s">
        <v>5873</v>
      </c>
      <c t="s">
        <v>5124</v>
      </c>
      <c t="s">
        <v>5874</v>
      </c>
    </row>
    <row r="280" spans="1:7" ht="11.25" customHeight="1">
      <c r="A280" t="s">
        <v>16</v>
      </c>
      <c t="s">
        <v>5865</v>
      </c>
      <c t="s">
        <v>5866</v>
      </c>
      <c t="s">
        <v>5875</v>
      </c>
      <c t="s">
        <v>5876</v>
      </c>
      <c t="s">
        <v>5124</v>
      </c>
      <c t="s">
        <v>5877</v>
      </c>
    </row>
    <row r="281" spans="1:7" ht="11.25" customHeight="1">
      <c r="A281" t="s">
        <v>16</v>
      </c>
      <c t="s">
        <v>5865</v>
      </c>
      <c t="s">
        <v>5866</v>
      </c>
      <c t="s">
        <v>5878</v>
      </c>
      <c t="s">
        <v>5879</v>
      </c>
      <c t="s">
        <v>5124</v>
      </c>
      <c t="s">
        <v>5880</v>
      </c>
    </row>
    <row r="282" spans="1:7" ht="11.25" customHeight="1">
      <c r="A282" t="s">
        <v>16</v>
      </c>
      <c t="s">
        <v>5865</v>
      </c>
      <c t="s">
        <v>5866</v>
      </c>
      <c t="s">
        <v>5881</v>
      </c>
      <c t="s">
        <v>5882</v>
      </c>
      <c t="s">
        <v>5124</v>
      </c>
      <c t="s">
        <v>5883</v>
      </c>
    </row>
    <row r="283" spans="1:7" ht="11.25" customHeight="1">
      <c r="A283" t="s">
        <v>16</v>
      </c>
      <c t="s">
        <v>5865</v>
      </c>
      <c t="s">
        <v>5866</v>
      </c>
      <c t="s">
        <v>5865</v>
      </c>
      <c t="s">
        <v>5866</v>
      </c>
      <c t="s">
        <v>5115</v>
      </c>
      <c t="s">
        <v>5884</v>
      </c>
    </row>
    <row r="284" spans="1:7" ht="11.25" customHeight="1">
      <c r="A284" t="s">
        <v>16</v>
      </c>
      <c t="s">
        <v>5865</v>
      </c>
      <c t="s">
        <v>5866</v>
      </c>
      <c t="s">
        <v>5885</v>
      </c>
      <c t="s">
        <v>5886</v>
      </c>
      <c t="s">
        <v>5124</v>
      </c>
      <c t="s">
        <v>5887</v>
      </c>
    </row>
    <row r="285" spans="1:7" ht="11.25" customHeight="1">
      <c r="A285" t="s">
        <v>16</v>
      </c>
      <c t="s">
        <v>5865</v>
      </c>
      <c t="s">
        <v>5866</v>
      </c>
      <c t="s">
        <v>5888</v>
      </c>
      <c t="s">
        <v>5889</v>
      </c>
      <c t="s">
        <v>5124</v>
      </c>
      <c t="s">
        <v>5890</v>
      </c>
    </row>
    <row r="286" spans="1:7" ht="11.25" customHeight="1">
      <c r="A286" t="s">
        <v>16</v>
      </c>
      <c t="s">
        <v>5865</v>
      </c>
      <c t="s">
        <v>5866</v>
      </c>
      <c t="s">
        <v>5891</v>
      </c>
      <c t="s">
        <v>5892</v>
      </c>
      <c t="s">
        <v>5124</v>
      </c>
      <c t="s">
        <v>5893</v>
      </c>
    </row>
    <row r="287" spans="1:7" ht="11.25" customHeight="1">
      <c r="A287" t="s">
        <v>16</v>
      </c>
      <c t="s">
        <v>5865</v>
      </c>
      <c t="s">
        <v>5866</v>
      </c>
      <c t="s">
        <v>5894</v>
      </c>
      <c t="s">
        <v>5895</v>
      </c>
      <c t="s">
        <v>5124</v>
      </c>
      <c t="s">
        <v>5896</v>
      </c>
    </row>
    <row r="288" spans="1:7" ht="11.25" customHeight="1">
      <c r="A288" t="s">
        <v>16</v>
      </c>
      <c t="s">
        <v>5865</v>
      </c>
      <c t="s">
        <v>5866</v>
      </c>
      <c t="s">
        <v>5676</v>
      </c>
      <c t="s">
        <v>5897</v>
      </c>
      <c t="s">
        <v>5124</v>
      </c>
      <c t="s">
        <v>5898</v>
      </c>
    </row>
    <row r="289" spans="1:7" ht="11.25" customHeight="1">
      <c r="A289" t="s">
        <v>16</v>
      </c>
      <c t="s">
        <v>5899</v>
      </c>
      <c t="s">
        <v>5900</v>
      </c>
      <c t="s">
        <v>5901</v>
      </c>
      <c t="s">
        <v>5902</v>
      </c>
      <c t="s">
        <v>5124</v>
      </c>
      <c t="s">
        <v>5903</v>
      </c>
    </row>
    <row r="290" spans="1:7" ht="11.25" customHeight="1">
      <c r="A290" t="s">
        <v>16</v>
      </c>
      <c t="s">
        <v>5899</v>
      </c>
      <c t="s">
        <v>5900</v>
      </c>
      <c t="s">
        <v>5904</v>
      </c>
      <c t="s">
        <v>5905</v>
      </c>
      <c t="s">
        <v>5124</v>
      </c>
      <c t="s">
        <v>5906</v>
      </c>
    </row>
    <row r="291" spans="1:7" ht="11.25" customHeight="1">
      <c r="A291" t="s">
        <v>16</v>
      </c>
      <c t="s">
        <v>5899</v>
      </c>
      <c t="s">
        <v>5900</v>
      </c>
      <c t="s">
        <v>5907</v>
      </c>
      <c t="s">
        <v>5908</v>
      </c>
      <c t="s">
        <v>5124</v>
      </c>
      <c t="s">
        <v>5909</v>
      </c>
    </row>
    <row r="292" spans="1:7" ht="11.25" customHeight="1">
      <c r="A292" t="s">
        <v>16</v>
      </c>
      <c t="s">
        <v>5899</v>
      </c>
      <c t="s">
        <v>5900</v>
      </c>
      <c t="s">
        <v>5815</v>
      </c>
      <c t="s">
        <v>5910</v>
      </c>
      <c t="s">
        <v>5124</v>
      </c>
      <c t="s">
        <v>5911</v>
      </c>
    </row>
    <row r="293" spans="1:7" ht="11.25" customHeight="1">
      <c r="A293" t="s">
        <v>16</v>
      </c>
      <c t="s">
        <v>5899</v>
      </c>
      <c t="s">
        <v>5900</v>
      </c>
      <c t="s">
        <v>5127</v>
      </c>
      <c t="s">
        <v>5912</v>
      </c>
      <c t="s">
        <v>5124</v>
      </c>
      <c t="s">
        <v>5913</v>
      </c>
    </row>
    <row r="294" spans="1:7" ht="11.25" customHeight="1">
      <c r="A294" t="s">
        <v>16</v>
      </c>
      <c t="s">
        <v>5899</v>
      </c>
      <c t="s">
        <v>5900</v>
      </c>
      <c t="s">
        <v>5914</v>
      </c>
      <c t="s">
        <v>5915</v>
      </c>
      <c t="s">
        <v>5124</v>
      </c>
      <c t="s">
        <v>5916</v>
      </c>
    </row>
    <row r="295" spans="1:7" ht="11.25" customHeight="1">
      <c r="A295" t="s">
        <v>16</v>
      </c>
      <c t="s">
        <v>5899</v>
      </c>
      <c t="s">
        <v>5900</v>
      </c>
      <c t="s">
        <v>5899</v>
      </c>
      <c t="s">
        <v>5900</v>
      </c>
      <c t="s">
        <v>5115</v>
      </c>
      <c t="s">
        <v>5917</v>
      </c>
    </row>
    <row r="296" spans="1:7" ht="11.25" customHeight="1">
      <c r="A296" t="s">
        <v>16</v>
      </c>
      <c t="s">
        <v>5899</v>
      </c>
      <c t="s">
        <v>5900</v>
      </c>
      <c t="s">
        <v>5918</v>
      </c>
      <c t="s">
        <v>5919</v>
      </c>
      <c t="s">
        <v>5118</v>
      </c>
      <c t="s">
        <v>5920</v>
      </c>
    </row>
    <row r="297" spans="1:7" ht="11.25" customHeight="1">
      <c r="A297" t="s">
        <v>16</v>
      </c>
      <c t="s">
        <v>5899</v>
      </c>
      <c t="s">
        <v>5900</v>
      </c>
      <c t="s">
        <v>5921</v>
      </c>
      <c t="s">
        <v>5922</v>
      </c>
      <c t="s">
        <v>5124</v>
      </c>
      <c t="s">
        <v>5923</v>
      </c>
    </row>
    <row r="298" spans="1:7" ht="11.25" customHeight="1">
      <c r="A298" t="s">
        <v>16</v>
      </c>
      <c t="s">
        <v>5899</v>
      </c>
      <c t="s">
        <v>5900</v>
      </c>
      <c t="s">
        <v>5924</v>
      </c>
      <c t="s">
        <v>5925</v>
      </c>
      <c t="s">
        <v>5124</v>
      </c>
      <c t="s">
        <v>5926</v>
      </c>
    </row>
    <row r="299" spans="1:7" ht="11.25" customHeight="1">
      <c r="A299" t="s">
        <v>16</v>
      </c>
      <c t="s">
        <v>5927</v>
      </c>
      <c t="s">
        <v>5928</v>
      </c>
      <c t="s">
        <v>5929</v>
      </c>
      <c t="s">
        <v>5930</v>
      </c>
      <c t="s">
        <v>5124</v>
      </c>
      <c t="s">
        <v>5931</v>
      </c>
    </row>
    <row r="300" spans="1:7" ht="11.25" customHeight="1">
      <c r="A300" t="s">
        <v>16</v>
      </c>
      <c t="s">
        <v>5927</v>
      </c>
      <c t="s">
        <v>5928</v>
      </c>
      <c t="s">
        <v>5932</v>
      </c>
      <c t="s">
        <v>5933</v>
      </c>
      <c t="s">
        <v>5121</v>
      </c>
      <c t="s">
        <v>5934</v>
      </c>
    </row>
    <row r="301" spans="1:7" ht="11.25" customHeight="1">
      <c r="A301" t="s">
        <v>16</v>
      </c>
      <c t="s">
        <v>5927</v>
      </c>
      <c t="s">
        <v>5928</v>
      </c>
      <c t="s">
        <v>5935</v>
      </c>
      <c t="s">
        <v>5936</v>
      </c>
      <c t="s">
        <v>5124</v>
      </c>
      <c t="s">
        <v>5937</v>
      </c>
    </row>
    <row r="302" spans="1:7" ht="11.25" customHeight="1">
      <c r="A302" t="s">
        <v>16</v>
      </c>
      <c t="s">
        <v>5927</v>
      </c>
      <c t="s">
        <v>5928</v>
      </c>
      <c t="s">
        <v>5938</v>
      </c>
      <c t="s">
        <v>5939</v>
      </c>
      <c t="s">
        <v>5121</v>
      </c>
      <c t="s">
        <v>5940</v>
      </c>
    </row>
    <row r="303" spans="1:7" ht="11.25" customHeight="1">
      <c r="A303" t="s">
        <v>16</v>
      </c>
      <c t="s">
        <v>5927</v>
      </c>
      <c t="s">
        <v>5928</v>
      </c>
      <c t="s">
        <v>5941</v>
      </c>
      <c t="s">
        <v>5942</v>
      </c>
      <c t="s">
        <v>5124</v>
      </c>
      <c t="s">
        <v>5943</v>
      </c>
    </row>
    <row r="304" spans="1:7" ht="11.25" customHeight="1">
      <c r="A304" t="s">
        <v>16</v>
      </c>
      <c t="s">
        <v>5927</v>
      </c>
      <c t="s">
        <v>5928</v>
      </c>
      <c t="s">
        <v>5944</v>
      </c>
      <c t="s">
        <v>5945</v>
      </c>
      <c t="s">
        <v>5124</v>
      </c>
      <c t="s">
        <v>5946</v>
      </c>
    </row>
    <row r="305" spans="1:7" ht="11.25" customHeight="1">
      <c r="A305" t="s">
        <v>16</v>
      </c>
      <c t="s">
        <v>5927</v>
      </c>
      <c t="s">
        <v>5928</v>
      </c>
      <c t="s">
        <v>5591</v>
      </c>
      <c t="s">
        <v>5947</v>
      </c>
      <c t="s">
        <v>5124</v>
      </c>
      <c t="s">
        <v>5948</v>
      </c>
    </row>
    <row r="306" spans="1:7" ht="11.25" customHeight="1">
      <c r="A306" t="s">
        <v>16</v>
      </c>
      <c t="s">
        <v>5927</v>
      </c>
      <c t="s">
        <v>5928</v>
      </c>
      <c t="s">
        <v>5949</v>
      </c>
      <c t="s">
        <v>5950</v>
      </c>
      <c t="s">
        <v>5124</v>
      </c>
      <c t="s">
        <v>5951</v>
      </c>
    </row>
    <row r="307" spans="1:7" ht="11.25" customHeight="1">
      <c r="A307" t="s">
        <v>16</v>
      </c>
      <c t="s">
        <v>5927</v>
      </c>
      <c t="s">
        <v>5928</v>
      </c>
      <c t="s">
        <v>5927</v>
      </c>
      <c t="s">
        <v>5928</v>
      </c>
      <c t="s">
        <v>5115</v>
      </c>
      <c t="s">
        <v>5952</v>
      </c>
    </row>
    <row r="308" spans="1:7" ht="11.25" customHeight="1">
      <c r="A308" t="s">
        <v>16</v>
      </c>
      <c t="s">
        <v>5927</v>
      </c>
      <c t="s">
        <v>5928</v>
      </c>
      <c t="s">
        <v>5953</v>
      </c>
      <c t="s">
        <v>5954</v>
      </c>
      <c t="s">
        <v>5124</v>
      </c>
      <c t="s">
        <v>5955</v>
      </c>
    </row>
    <row r="309" spans="1:7" ht="11.25" customHeight="1">
      <c r="A309" t="s">
        <v>16</v>
      </c>
      <c t="s">
        <v>5927</v>
      </c>
      <c t="s">
        <v>5928</v>
      </c>
      <c t="s">
        <v>5956</v>
      </c>
      <c t="s">
        <v>5957</v>
      </c>
      <c t="s">
        <v>5124</v>
      </c>
      <c t="s">
        <v>5958</v>
      </c>
    </row>
    <row r="310" spans="1:7" ht="11.25" customHeight="1">
      <c r="A310" t="s">
        <v>16</v>
      </c>
      <c t="s">
        <v>5927</v>
      </c>
      <c t="s">
        <v>5928</v>
      </c>
      <c t="s">
        <v>5959</v>
      </c>
      <c t="s">
        <v>5960</v>
      </c>
      <c t="s">
        <v>5121</v>
      </c>
      <c t="s">
        <v>5961</v>
      </c>
    </row>
    <row r="311" spans="1:7" ht="11.25" customHeight="1">
      <c r="A311" t="s">
        <v>16</v>
      </c>
      <c t="s">
        <v>5927</v>
      </c>
      <c t="s">
        <v>5928</v>
      </c>
      <c t="s">
        <v>5962</v>
      </c>
      <c t="s">
        <v>5963</v>
      </c>
      <c t="s">
        <v>5124</v>
      </c>
      <c t="s">
        <v>5964</v>
      </c>
    </row>
    <row r="312" spans="1:7" ht="11.25" customHeight="1">
      <c r="A312" t="s">
        <v>16</v>
      </c>
      <c t="s">
        <v>5965</v>
      </c>
      <c t="s">
        <v>5966</v>
      </c>
      <c t="s">
        <v>5965</v>
      </c>
      <c t="s">
        <v>5966</v>
      </c>
      <c t="s">
        <v>5236</v>
      </c>
      <c t="s">
        <v>5967</v>
      </c>
    </row>
    <row r="313" spans="1:7" ht="11.25" customHeight="1">
      <c r="A313" t="s">
        <v>16</v>
      </c>
      <c t="s">
        <v>5968</v>
      </c>
      <c t="s">
        <v>5969</v>
      </c>
      <c t="s">
        <v>5970</v>
      </c>
      <c t="s">
        <v>5971</v>
      </c>
      <c t="s">
        <v>5124</v>
      </c>
      <c t="s">
        <v>5972</v>
      </c>
    </row>
    <row r="314" spans="1:7" ht="11.25" customHeight="1">
      <c r="A314" t="s">
        <v>16</v>
      </c>
      <c t="s">
        <v>5968</v>
      </c>
      <c t="s">
        <v>5969</v>
      </c>
      <c t="s">
        <v>5973</v>
      </c>
      <c t="s">
        <v>5974</v>
      </c>
      <c t="s">
        <v>5124</v>
      </c>
      <c t="s">
        <v>5975</v>
      </c>
    </row>
    <row r="315" spans="1:7" ht="11.25" customHeight="1">
      <c r="A315" t="s">
        <v>16</v>
      </c>
      <c t="s">
        <v>5968</v>
      </c>
      <c t="s">
        <v>5969</v>
      </c>
      <c t="s">
        <v>5976</v>
      </c>
      <c t="s">
        <v>5977</v>
      </c>
      <c t="s">
        <v>5124</v>
      </c>
      <c t="s">
        <v>5978</v>
      </c>
    </row>
    <row r="316" spans="1:7" ht="11.25" customHeight="1">
      <c r="A316" t="s">
        <v>16</v>
      </c>
      <c t="s">
        <v>5968</v>
      </c>
      <c t="s">
        <v>5969</v>
      </c>
      <c t="s">
        <v>5979</v>
      </c>
      <c t="s">
        <v>5980</v>
      </c>
      <c t="s">
        <v>5124</v>
      </c>
      <c t="s">
        <v>5981</v>
      </c>
    </row>
    <row r="317" spans="1:7" ht="11.25" customHeight="1">
      <c r="A317" t="s">
        <v>16</v>
      </c>
      <c t="s">
        <v>5968</v>
      </c>
      <c t="s">
        <v>5969</v>
      </c>
      <c t="s">
        <v>5982</v>
      </c>
      <c t="s">
        <v>5983</v>
      </c>
      <c t="s">
        <v>5124</v>
      </c>
      <c t="s">
        <v>5984</v>
      </c>
    </row>
    <row r="318" spans="1:7" ht="11.25" customHeight="1">
      <c r="A318" t="s">
        <v>16</v>
      </c>
      <c t="s">
        <v>5968</v>
      </c>
      <c t="s">
        <v>5969</v>
      </c>
      <c t="s">
        <v>5985</v>
      </c>
      <c t="s">
        <v>5986</v>
      </c>
      <c t="s">
        <v>5124</v>
      </c>
      <c t="s">
        <v>5987</v>
      </c>
    </row>
    <row r="319" spans="1:7" ht="11.25" customHeight="1">
      <c r="A319" t="s">
        <v>16</v>
      </c>
      <c t="s">
        <v>5968</v>
      </c>
      <c t="s">
        <v>5969</v>
      </c>
      <c t="s">
        <v>5988</v>
      </c>
      <c t="s">
        <v>5989</v>
      </c>
      <c t="s">
        <v>5124</v>
      </c>
      <c t="s">
        <v>5990</v>
      </c>
    </row>
    <row r="320" spans="1:7" ht="11.25" customHeight="1">
      <c r="A320" t="s">
        <v>16</v>
      </c>
      <c t="s">
        <v>5968</v>
      </c>
      <c t="s">
        <v>5969</v>
      </c>
      <c t="s">
        <v>5991</v>
      </c>
      <c t="s">
        <v>5992</v>
      </c>
      <c t="s">
        <v>5124</v>
      </c>
      <c t="s">
        <v>5993</v>
      </c>
    </row>
    <row r="321" spans="1:7" ht="11.25" customHeight="1">
      <c r="A321" t="s">
        <v>16</v>
      </c>
      <c t="s">
        <v>5968</v>
      </c>
      <c t="s">
        <v>5969</v>
      </c>
      <c t="s">
        <v>5994</v>
      </c>
      <c t="s">
        <v>5995</v>
      </c>
      <c t="s">
        <v>5124</v>
      </c>
      <c t="s">
        <v>5996</v>
      </c>
    </row>
    <row r="322" spans="1:7" ht="11.25" customHeight="1">
      <c r="A322" t="s">
        <v>16</v>
      </c>
      <c t="s">
        <v>5968</v>
      </c>
      <c t="s">
        <v>5969</v>
      </c>
      <c t="s">
        <v>5787</v>
      </c>
      <c t="s">
        <v>5997</v>
      </c>
      <c t="s">
        <v>5124</v>
      </c>
      <c t="s">
        <v>5998</v>
      </c>
    </row>
    <row r="323" spans="1:7" ht="11.25" customHeight="1">
      <c r="A323" t="s">
        <v>16</v>
      </c>
      <c t="s">
        <v>5968</v>
      </c>
      <c t="s">
        <v>5969</v>
      </c>
      <c t="s">
        <v>5999</v>
      </c>
      <c t="s">
        <v>6000</v>
      </c>
      <c t="s">
        <v>5124</v>
      </c>
      <c t="s">
        <v>6001</v>
      </c>
    </row>
    <row r="324" spans="1:7" ht="11.25" customHeight="1">
      <c r="A324" t="s">
        <v>16</v>
      </c>
      <c t="s">
        <v>5968</v>
      </c>
      <c t="s">
        <v>5969</v>
      </c>
      <c t="s">
        <v>6002</v>
      </c>
      <c t="s">
        <v>6003</v>
      </c>
      <c t="s">
        <v>5124</v>
      </c>
      <c t="s">
        <v>6004</v>
      </c>
    </row>
    <row r="325" spans="1:7" ht="11.25" customHeight="1">
      <c r="A325" t="s">
        <v>16</v>
      </c>
      <c t="s">
        <v>5968</v>
      </c>
      <c t="s">
        <v>5969</v>
      </c>
      <c t="s">
        <v>5968</v>
      </c>
      <c t="s">
        <v>5969</v>
      </c>
      <c t="s">
        <v>5115</v>
      </c>
      <c t="s">
        <v>6005</v>
      </c>
    </row>
    <row r="326" spans="1:7" ht="11.25" customHeight="1">
      <c r="A326" t="s">
        <v>16</v>
      </c>
      <c t="s">
        <v>5968</v>
      </c>
      <c t="s">
        <v>5969</v>
      </c>
      <c t="s">
        <v>6006</v>
      </c>
      <c t="s">
        <v>6007</v>
      </c>
      <c t="s">
        <v>5118</v>
      </c>
      <c t="s">
        <v>6008</v>
      </c>
    </row>
    <row r="327" spans="1:7" ht="11.25" customHeight="1">
      <c r="A327" t="s">
        <v>16</v>
      </c>
      <c t="s">
        <v>5968</v>
      </c>
      <c t="s">
        <v>5969</v>
      </c>
      <c t="s">
        <v>6009</v>
      </c>
      <c t="s">
        <v>6010</v>
      </c>
      <c t="s">
        <v>5124</v>
      </c>
      <c t="s">
        <v>6011</v>
      </c>
    </row>
    <row r="328" spans="1:7" ht="11.25" customHeight="1">
      <c r="A328" t="s">
        <v>16</v>
      </c>
      <c t="s">
        <v>5968</v>
      </c>
      <c t="s">
        <v>5969</v>
      </c>
      <c t="s">
        <v>6012</v>
      </c>
      <c t="s">
        <v>6013</v>
      </c>
      <c t="s">
        <v>5124</v>
      </c>
      <c t="s">
        <v>6014</v>
      </c>
    </row>
    <row r="329" spans="1:7" ht="11.25" customHeight="1">
      <c r="A329" t="s">
        <v>16</v>
      </c>
      <c t="s">
        <v>6015</v>
      </c>
      <c t="s">
        <v>6016</v>
      </c>
      <c t="s">
        <v>6017</v>
      </c>
      <c t="s">
        <v>6018</v>
      </c>
      <c t="s">
        <v>5124</v>
      </c>
      <c t="s">
        <v>6019</v>
      </c>
    </row>
    <row r="330" spans="1:7" ht="11.25" customHeight="1">
      <c r="A330" t="s">
        <v>16</v>
      </c>
      <c t="s">
        <v>6015</v>
      </c>
      <c t="s">
        <v>6016</v>
      </c>
      <c t="s">
        <v>5415</v>
      </c>
      <c t="s">
        <v>6020</v>
      </c>
      <c t="s">
        <v>5124</v>
      </c>
      <c t="s">
        <v>6021</v>
      </c>
    </row>
    <row r="331" spans="1:7" ht="11.25" customHeight="1">
      <c r="A331" t="s">
        <v>16</v>
      </c>
      <c t="s">
        <v>6015</v>
      </c>
      <c t="s">
        <v>6016</v>
      </c>
      <c t="s">
        <v>6022</v>
      </c>
      <c t="s">
        <v>6023</v>
      </c>
      <c t="s">
        <v>5124</v>
      </c>
      <c t="s">
        <v>6024</v>
      </c>
    </row>
    <row r="332" spans="1:7" ht="11.25" customHeight="1">
      <c r="A332" t="s">
        <v>16</v>
      </c>
      <c t="s">
        <v>6015</v>
      </c>
      <c t="s">
        <v>6016</v>
      </c>
      <c t="s">
        <v>6025</v>
      </c>
      <c t="s">
        <v>6026</v>
      </c>
      <c t="s">
        <v>5124</v>
      </c>
      <c t="s">
        <v>6027</v>
      </c>
    </row>
    <row r="333" spans="1:7" ht="11.25" customHeight="1">
      <c r="A333" t="s">
        <v>16</v>
      </c>
      <c t="s">
        <v>6015</v>
      </c>
      <c t="s">
        <v>6016</v>
      </c>
      <c t="s">
        <v>6015</v>
      </c>
      <c t="s">
        <v>6016</v>
      </c>
      <c t="s">
        <v>5115</v>
      </c>
      <c t="s">
        <v>6028</v>
      </c>
    </row>
    <row r="334" spans="1:7" ht="11.25" customHeight="1">
      <c r="A334" t="s">
        <v>16</v>
      </c>
      <c t="s">
        <v>6015</v>
      </c>
      <c t="s">
        <v>6016</v>
      </c>
      <c t="s">
        <v>6029</v>
      </c>
      <c t="s">
        <v>6030</v>
      </c>
      <c t="s">
        <v>5124</v>
      </c>
      <c t="s">
        <v>6031</v>
      </c>
    </row>
    <row r="335" spans="1:7" ht="11.25" customHeight="1">
      <c r="A335" t="s">
        <v>16</v>
      </c>
      <c t="s">
        <v>6032</v>
      </c>
      <c t="s">
        <v>6033</v>
      </c>
      <c t="s">
        <v>6034</v>
      </c>
      <c t="s">
        <v>6035</v>
      </c>
      <c t="s">
        <v>5124</v>
      </c>
      <c t="s">
        <v>6036</v>
      </c>
    </row>
    <row r="336" spans="1:7" ht="11.25" customHeight="1">
      <c r="A336" t="s">
        <v>16</v>
      </c>
      <c t="s">
        <v>6032</v>
      </c>
      <c t="s">
        <v>6033</v>
      </c>
      <c t="s">
        <v>6037</v>
      </c>
      <c t="s">
        <v>6038</v>
      </c>
      <c t="s">
        <v>5124</v>
      </c>
      <c t="s">
        <v>6039</v>
      </c>
    </row>
    <row r="337" spans="1:7" ht="11.25" customHeight="1">
      <c r="A337" t="s">
        <v>16</v>
      </c>
      <c t="s">
        <v>6032</v>
      </c>
      <c t="s">
        <v>6033</v>
      </c>
      <c t="s">
        <v>6040</v>
      </c>
      <c t="s">
        <v>6041</v>
      </c>
      <c t="s">
        <v>5124</v>
      </c>
      <c t="s">
        <v>6042</v>
      </c>
    </row>
    <row r="338" spans="1:7" ht="11.25" customHeight="1">
      <c r="A338" t="s">
        <v>16</v>
      </c>
      <c t="s">
        <v>6032</v>
      </c>
      <c t="s">
        <v>6033</v>
      </c>
      <c t="s">
        <v>6043</v>
      </c>
      <c t="s">
        <v>6044</v>
      </c>
      <c t="s">
        <v>5124</v>
      </c>
      <c t="s">
        <v>6045</v>
      </c>
    </row>
    <row r="339" spans="1:7" ht="11.25" customHeight="1">
      <c r="A339" t="s">
        <v>16</v>
      </c>
      <c t="s">
        <v>6032</v>
      </c>
      <c t="s">
        <v>6033</v>
      </c>
      <c t="s">
        <v>6046</v>
      </c>
      <c t="s">
        <v>6047</v>
      </c>
      <c t="s">
        <v>5124</v>
      </c>
      <c t="s">
        <v>6048</v>
      </c>
    </row>
    <row r="340" spans="1:7" ht="11.25" customHeight="1">
      <c r="A340" t="s">
        <v>16</v>
      </c>
      <c t="s">
        <v>6032</v>
      </c>
      <c t="s">
        <v>6033</v>
      </c>
      <c t="s">
        <v>6049</v>
      </c>
      <c t="s">
        <v>6050</v>
      </c>
      <c t="s">
        <v>5124</v>
      </c>
      <c t="s">
        <v>6051</v>
      </c>
    </row>
    <row r="341" spans="1:7" ht="11.25" customHeight="1">
      <c r="A341" t="s">
        <v>16</v>
      </c>
      <c t="s">
        <v>6032</v>
      </c>
      <c t="s">
        <v>6033</v>
      </c>
      <c t="s">
        <v>6052</v>
      </c>
      <c t="s">
        <v>6053</v>
      </c>
      <c t="s">
        <v>5124</v>
      </c>
      <c t="s">
        <v>6054</v>
      </c>
    </row>
    <row r="342" spans="1:7" ht="11.25" customHeight="1">
      <c r="A342" t="s">
        <v>16</v>
      </c>
      <c t="s">
        <v>6032</v>
      </c>
      <c t="s">
        <v>6033</v>
      </c>
      <c t="s">
        <v>6032</v>
      </c>
      <c t="s">
        <v>6033</v>
      </c>
      <c t="s">
        <v>5115</v>
      </c>
      <c t="s">
        <v>6055</v>
      </c>
    </row>
    <row r="343" spans="1:7" ht="11.25" customHeight="1">
      <c r="A343" t="s">
        <v>16</v>
      </c>
      <c t="s">
        <v>6032</v>
      </c>
      <c t="s">
        <v>6033</v>
      </c>
      <c t="s">
        <v>6056</v>
      </c>
      <c t="s">
        <v>6057</v>
      </c>
      <c t="s">
        <v>5124</v>
      </c>
      <c t="s">
        <v>6058</v>
      </c>
    </row>
    <row r="344" spans="1:7" ht="11.25" customHeight="1">
      <c r="A344" t="s">
        <v>16</v>
      </c>
      <c t="s">
        <v>6059</v>
      </c>
      <c t="s">
        <v>6060</v>
      </c>
      <c t="s">
        <v>6061</v>
      </c>
      <c t="s">
        <v>6062</v>
      </c>
      <c t="s">
        <v>5124</v>
      </c>
      <c t="s">
        <v>6063</v>
      </c>
    </row>
    <row r="345" spans="1:7" ht="11.25" customHeight="1">
      <c r="A345" t="s">
        <v>16</v>
      </c>
      <c t="s">
        <v>6059</v>
      </c>
      <c t="s">
        <v>6060</v>
      </c>
      <c t="s">
        <v>6064</v>
      </c>
      <c t="s">
        <v>6065</v>
      </c>
      <c t="s">
        <v>5124</v>
      </c>
      <c t="s">
        <v>6066</v>
      </c>
    </row>
    <row r="346" spans="1:7" ht="11.25" customHeight="1">
      <c r="A346" t="s">
        <v>16</v>
      </c>
      <c t="s">
        <v>6059</v>
      </c>
      <c t="s">
        <v>6060</v>
      </c>
      <c t="s">
        <v>6067</v>
      </c>
      <c t="s">
        <v>6068</v>
      </c>
      <c t="s">
        <v>5124</v>
      </c>
      <c t="s">
        <v>6069</v>
      </c>
    </row>
    <row r="347" spans="1:7" ht="11.25" customHeight="1">
      <c r="A347" t="s">
        <v>16</v>
      </c>
      <c t="s">
        <v>6059</v>
      </c>
      <c t="s">
        <v>6060</v>
      </c>
      <c t="s">
        <v>6070</v>
      </c>
      <c t="s">
        <v>6071</v>
      </c>
      <c t="s">
        <v>5124</v>
      </c>
      <c t="s">
        <v>6072</v>
      </c>
    </row>
    <row r="348" spans="1:7" ht="11.25" customHeight="1">
      <c r="A348" t="s">
        <v>16</v>
      </c>
      <c t="s">
        <v>6059</v>
      </c>
      <c t="s">
        <v>6060</v>
      </c>
      <c t="s">
        <v>6073</v>
      </c>
      <c t="s">
        <v>6074</v>
      </c>
      <c t="s">
        <v>5124</v>
      </c>
      <c t="s">
        <v>6075</v>
      </c>
    </row>
    <row r="349" spans="1:7" ht="11.25" customHeight="1">
      <c r="A349" t="s">
        <v>16</v>
      </c>
      <c t="s">
        <v>6059</v>
      </c>
      <c t="s">
        <v>6060</v>
      </c>
      <c t="s">
        <v>6076</v>
      </c>
      <c t="s">
        <v>6077</v>
      </c>
      <c t="s">
        <v>5124</v>
      </c>
      <c t="s">
        <v>6078</v>
      </c>
    </row>
    <row r="350" spans="1:7" ht="11.25" customHeight="1">
      <c r="A350" t="s">
        <v>16</v>
      </c>
      <c t="s">
        <v>6059</v>
      </c>
      <c t="s">
        <v>6060</v>
      </c>
      <c t="s">
        <v>6079</v>
      </c>
      <c t="s">
        <v>6080</v>
      </c>
      <c t="s">
        <v>5124</v>
      </c>
      <c t="s">
        <v>6081</v>
      </c>
    </row>
    <row r="351" spans="1:7" ht="11.25" customHeight="1">
      <c r="A351" t="s">
        <v>16</v>
      </c>
      <c t="s">
        <v>6059</v>
      </c>
      <c t="s">
        <v>6060</v>
      </c>
      <c t="s">
        <v>6082</v>
      </c>
      <c t="s">
        <v>6083</v>
      </c>
      <c t="s">
        <v>5124</v>
      </c>
      <c t="s">
        <v>6084</v>
      </c>
    </row>
    <row r="352" spans="1:7" ht="11.25" customHeight="1">
      <c r="A352" t="s">
        <v>16</v>
      </c>
      <c t="s">
        <v>6059</v>
      </c>
      <c t="s">
        <v>6060</v>
      </c>
      <c t="s">
        <v>6085</v>
      </c>
      <c t="s">
        <v>6086</v>
      </c>
      <c t="s">
        <v>5124</v>
      </c>
      <c t="s">
        <v>6087</v>
      </c>
    </row>
    <row r="353" spans="1:7" ht="11.25" customHeight="1">
      <c r="A353" t="s">
        <v>16</v>
      </c>
      <c t="s">
        <v>6059</v>
      </c>
      <c t="s">
        <v>6060</v>
      </c>
      <c t="s">
        <v>6088</v>
      </c>
      <c t="s">
        <v>6089</v>
      </c>
      <c t="s">
        <v>5124</v>
      </c>
      <c t="s">
        <v>6090</v>
      </c>
    </row>
    <row r="354" spans="1:7" ht="11.25" customHeight="1">
      <c r="A354" t="s">
        <v>16</v>
      </c>
      <c t="s">
        <v>6059</v>
      </c>
      <c t="s">
        <v>6060</v>
      </c>
      <c t="s">
        <v>6059</v>
      </c>
      <c t="s">
        <v>6060</v>
      </c>
      <c t="s">
        <v>5115</v>
      </c>
      <c t="s">
        <v>6091</v>
      </c>
    </row>
    <row r="355" spans="1:7" ht="11.25" customHeight="1">
      <c r="A355" t="s">
        <v>16</v>
      </c>
      <c t="s">
        <v>6059</v>
      </c>
      <c t="s">
        <v>6060</v>
      </c>
      <c t="s">
        <v>6092</v>
      </c>
      <c t="s">
        <v>6093</v>
      </c>
      <c t="s">
        <v>5118</v>
      </c>
      <c t="s">
        <v>6094</v>
      </c>
    </row>
    <row r="356" spans="1:7" ht="11.25" customHeight="1">
      <c r="A356" t="s">
        <v>16</v>
      </c>
      <c t="s">
        <v>6059</v>
      </c>
      <c t="s">
        <v>6060</v>
      </c>
      <c t="s">
        <v>6095</v>
      </c>
      <c t="s">
        <v>6096</v>
      </c>
      <c t="s">
        <v>5124</v>
      </c>
      <c t="s">
        <v>6097</v>
      </c>
    </row>
    <row r="357" spans="1:7" ht="11.25" customHeight="1">
      <c r="A357" t="s">
        <v>16</v>
      </c>
      <c t="s">
        <v>6098</v>
      </c>
      <c t="s">
        <v>6099</v>
      </c>
      <c t="s">
        <v>6100</v>
      </c>
      <c t="s">
        <v>6101</v>
      </c>
      <c t="s">
        <v>5124</v>
      </c>
      <c t="s">
        <v>6102</v>
      </c>
    </row>
    <row r="358" spans="1:7" ht="11.25" customHeight="1">
      <c r="A358" t="s">
        <v>16</v>
      </c>
      <c t="s">
        <v>6098</v>
      </c>
      <c t="s">
        <v>6099</v>
      </c>
      <c t="s">
        <v>6103</v>
      </c>
      <c t="s">
        <v>6104</v>
      </c>
      <c t="s">
        <v>5124</v>
      </c>
      <c t="s">
        <v>6105</v>
      </c>
    </row>
    <row r="359" spans="1:7" ht="11.25" customHeight="1">
      <c r="A359" t="s">
        <v>16</v>
      </c>
      <c t="s">
        <v>6098</v>
      </c>
      <c t="s">
        <v>6099</v>
      </c>
      <c t="s">
        <v>6106</v>
      </c>
      <c t="s">
        <v>6107</v>
      </c>
      <c t="s">
        <v>5124</v>
      </c>
      <c t="s">
        <v>6108</v>
      </c>
    </row>
    <row r="360" spans="1:7" ht="11.25" customHeight="1">
      <c r="A360" t="s">
        <v>16</v>
      </c>
      <c t="s">
        <v>6098</v>
      </c>
      <c t="s">
        <v>6099</v>
      </c>
      <c t="s">
        <v>6109</v>
      </c>
      <c t="s">
        <v>6110</v>
      </c>
      <c t="s">
        <v>5124</v>
      </c>
      <c t="s">
        <v>6111</v>
      </c>
    </row>
    <row r="361" spans="1:7" ht="11.25" customHeight="1">
      <c r="A361" t="s">
        <v>16</v>
      </c>
      <c t="s">
        <v>6098</v>
      </c>
      <c t="s">
        <v>6099</v>
      </c>
      <c t="s">
        <v>6112</v>
      </c>
      <c t="s">
        <v>6113</v>
      </c>
      <c t="s">
        <v>5124</v>
      </c>
      <c t="s">
        <v>6114</v>
      </c>
    </row>
    <row r="362" spans="1:7" ht="11.25" customHeight="1">
      <c r="A362" t="s">
        <v>16</v>
      </c>
      <c t="s">
        <v>6098</v>
      </c>
      <c t="s">
        <v>6099</v>
      </c>
      <c t="s">
        <v>6115</v>
      </c>
      <c t="s">
        <v>6116</v>
      </c>
      <c t="s">
        <v>5124</v>
      </c>
      <c t="s">
        <v>6117</v>
      </c>
    </row>
    <row r="363" spans="1:7" ht="11.25" customHeight="1">
      <c r="A363" t="s">
        <v>16</v>
      </c>
      <c t="s">
        <v>6098</v>
      </c>
      <c t="s">
        <v>6099</v>
      </c>
      <c t="s">
        <v>6118</v>
      </c>
      <c t="s">
        <v>6119</v>
      </c>
      <c t="s">
        <v>5124</v>
      </c>
      <c t="s">
        <v>6120</v>
      </c>
    </row>
    <row r="364" spans="1:7" ht="11.25" customHeight="1">
      <c r="A364" t="s">
        <v>16</v>
      </c>
      <c t="s">
        <v>6098</v>
      </c>
      <c t="s">
        <v>6099</v>
      </c>
      <c t="s">
        <v>6121</v>
      </c>
      <c t="s">
        <v>6122</v>
      </c>
      <c t="s">
        <v>5124</v>
      </c>
      <c t="s">
        <v>6123</v>
      </c>
    </row>
    <row r="365" spans="1:7" ht="11.25" customHeight="1">
      <c r="A365" t="s">
        <v>16</v>
      </c>
      <c t="s">
        <v>6098</v>
      </c>
      <c t="s">
        <v>6099</v>
      </c>
      <c t="s">
        <v>6124</v>
      </c>
      <c t="s">
        <v>6125</v>
      </c>
      <c t="s">
        <v>5124</v>
      </c>
      <c t="s">
        <v>6126</v>
      </c>
    </row>
    <row r="366" spans="1:7" ht="11.25" customHeight="1">
      <c r="A366" t="s">
        <v>16</v>
      </c>
      <c t="s">
        <v>6098</v>
      </c>
      <c t="s">
        <v>6099</v>
      </c>
      <c t="s">
        <v>6098</v>
      </c>
      <c t="s">
        <v>6099</v>
      </c>
      <c t="s">
        <v>5115</v>
      </c>
      <c t="s">
        <v>6127</v>
      </c>
    </row>
    <row r="367" spans="1:7" ht="11.25" customHeight="1">
      <c r="A367" t="s">
        <v>16</v>
      </c>
      <c t="s">
        <v>6098</v>
      </c>
      <c t="s">
        <v>6099</v>
      </c>
      <c t="s">
        <v>6128</v>
      </c>
      <c t="s">
        <v>6129</v>
      </c>
      <c t="s">
        <v>5118</v>
      </c>
      <c t="s">
        <v>6130</v>
      </c>
    </row>
    <row r="368" spans="1:7" ht="11.25" customHeight="1">
      <c r="A368" t="s">
        <v>16</v>
      </c>
      <c t="s">
        <v>6131</v>
      </c>
      <c t="s">
        <v>6132</v>
      </c>
      <c t="s">
        <v>6133</v>
      </c>
      <c t="s">
        <v>6134</v>
      </c>
      <c t="s">
        <v>5124</v>
      </c>
      <c t="s">
        <v>6135</v>
      </c>
    </row>
    <row r="369" spans="1:7" ht="11.25" customHeight="1">
      <c r="A369" t="s">
        <v>16</v>
      </c>
      <c t="s">
        <v>6131</v>
      </c>
      <c t="s">
        <v>6132</v>
      </c>
      <c t="s">
        <v>6136</v>
      </c>
      <c t="s">
        <v>6137</v>
      </c>
      <c t="s">
        <v>5124</v>
      </c>
      <c t="s">
        <v>6138</v>
      </c>
    </row>
    <row r="370" spans="1:7" ht="11.25" customHeight="1">
      <c r="A370" t="s">
        <v>16</v>
      </c>
      <c t="s">
        <v>6131</v>
      </c>
      <c t="s">
        <v>6132</v>
      </c>
      <c t="s">
        <v>6139</v>
      </c>
      <c t="s">
        <v>6140</v>
      </c>
      <c t="s">
        <v>5124</v>
      </c>
      <c t="s">
        <v>6141</v>
      </c>
    </row>
    <row r="371" spans="1:7" ht="11.25" customHeight="1">
      <c r="A371" t="s">
        <v>16</v>
      </c>
      <c t="s">
        <v>6131</v>
      </c>
      <c t="s">
        <v>6132</v>
      </c>
      <c t="s">
        <v>6142</v>
      </c>
      <c t="s">
        <v>6143</v>
      </c>
      <c t="s">
        <v>5124</v>
      </c>
      <c t="s">
        <v>6144</v>
      </c>
    </row>
    <row r="372" spans="1:7" ht="11.25" customHeight="1">
      <c r="A372" t="s">
        <v>16</v>
      </c>
      <c t="s">
        <v>6131</v>
      </c>
      <c t="s">
        <v>6132</v>
      </c>
      <c t="s">
        <v>6145</v>
      </c>
      <c t="s">
        <v>6146</v>
      </c>
      <c t="s">
        <v>5124</v>
      </c>
      <c t="s">
        <v>6147</v>
      </c>
    </row>
    <row r="373" spans="1:7" ht="11.25" customHeight="1">
      <c r="A373" t="s">
        <v>16</v>
      </c>
      <c t="s">
        <v>6131</v>
      </c>
      <c t="s">
        <v>6132</v>
      </c>
      <c t="s">
        <v>5841</v>
      </c>
      <c t="s">
        <v>6148</v>
      </c>
      <c t="s">
        <v>5124</v>
      </c>
      <c t="s">
        <v>6149</v>
      </c>
    </row>
    <row r="374" spans="1:7" ht="11.25" customHeight="1">
      <c r="A374" t="s">
        <v>16</v>
      </c>
      <c t="s">
        <v>6131</v>
      </c>
      <c t="s">
        <v>6132</v>
      </c>
      <c t="s">
        <v>6150</v>
      </c>
      <c t="s">
        <v>6151</v>
      </c>
      <c t="s">
        <v>5124</v>
      </c>
      <c t="s">
        <v>6152</v>
      </c>
    </row>
    <row r="375" spans="1:7" ht="11.25" customHeight="1">
      <c r="A375" t="s">
        <v>16</v>
      </c>
      <c t="s">
        <v>6131</v>
      </c>
      <c t="s">
        <v>6132</v>
      </c>
      <c t="s">
        <v>6153</v>
      </c>
      <c t="s">
        <v>6154</v>
      </c>
      <c t="s">
        <v>5124</v>
      </c>
      <c t="s">
        <v>6155</v>
      </c>
    </row>
    <row r="376" spans="1:7" ht="11.25" customHeight="1">
      <c r="A376" t="s">
        <v>16</v>
      </c>
      <c t="s">
        <v>6131</v>
      </c>
      <c t="s">
        <v>6132</v>
      </c>
      <c t="s">
        <v>6131</v>
      </c>
      <c t="s">
        <v>6132</v>
      </c>
      <c t="s">
        <v>5115</v>
      </c>
      <c t="s">
        <v>6156</v>
      </c>
    </row>
    <row r="377" spans="1:7" ht="11.25" customHeight="1">
      <c r="A377" t="s">
        <v>16</v>
      </c>
      <c t="s">
        <v>6131</v>
      </c>
      <c t="s">
        <v>6132</v>
      </c>
      <c t="s">
        <v>6157</v>
      </c>
      <c t="s">
        <v>6158</v>
      </c>
      <c t="s">
        <v>5118</v>
      </c>
      <c t="s">
        <v>6159</v>
      </c>
    </row>
    <row r="378" spans="1:7" ht="11.25" customHeight="1">
      <c r="A378" t="s">
        <v>16</v>
      </c>
      <c t="s">
        <v>6131</v>
      </c>
      <c t="s">
        <v>6132</v>
      </c>
      <c t="s">
        <v>6160</v>
      </c>
      <c t="s">
        <v>6161</v>
      </c>
      <c t="s">
        <v>5124</v>
      </c>
      <c t="s">
        <v>6162</v>
      </c>
    </row>
    <row r="379" spans="1:7" ht="11.25" customHeight="1">
      <c r="A379" t="s">
        <v>16</v>
      </c>
      <c t="s">
        <v>6131</v>
      </c>
      <c t="s">
        <v>6132</v>
      </c>
      <c t="s">
        <v>6163</v>
      </c>
      <c t="s">
        <v>6164</v>
      </c>
      <c t="s">
        <v>5124</v>
      </c>
      <c t="s">
        <v>6165</v>
      </c>
    </row>
    <row r="380" spans="1:7" ht="11.25" customHeight="1">
      <c r="A380" t="s">
        <v>16</v>
      </c>
      <c t="s">
        <v>6131</v>
      </c>
      <c t="s">
        <v>6132</v>
      </c>
      <c t="s">
        <v>6166</v>
      </c>
      <c t="s">
        <v>6167</v>
      </c>
      <c t="s">
        <v>5124</v>
      </c>
      <c t="s">
        <v>6168</v>
      </c>
    </row>
    <row r="381" spans="1:7" ht="11.25" customHeight="1">
      <c r="A381" t="s">
        <v>16</v>
      </c>
      <c t="s">
        <v>6169</v>
      </c>
      <c t="s">
        <v>6170</v>
      </c>
      <c t="s">
        <v>6171</v>
      </c>
      <c t="s">
        <v>6172</v>
      </c>
      <c t="s">
        <v>5124</v>
      </c>
      <c t="s">
        <v>6173</v>
      </c>
    </row>
    <row r="382" spans="1:7" ht="11.25" customHeight="1">
      <c r="A382" t="s">
        <v>16</v>
      </c>
      <c t="s">
        <v>6169</v>
      </c>
      <c t="s">
        <v>6170</v>
      </c>
      <c t="s">
        <v>6174</v>
      </c>
      <c t="s">
        <v>6175</v>
      </c>
      <c t="s">
        <v>5124</v>
      </c>
      <c t="s">
        <v>6176</v>
      </c>
    </row>
    <row r="383" spans="1:7" ht="11.25" customHeight="1">
      <c r="A383" t="s">
        <v>16</v>
      </c>
      <c t="s">
        <v>6169</v>
      </c>
      <c t="s">
        <v>6170</v>
      </c>
      <c t="s">
        <v>6177</v>
      </c>
      <c t="s">
        <v>6178</v>
      </c>
      <c t="s">
        <v>5121</v>
      </c>
      <c t="s">
        <v>6179</v>
      </c>
    </row>
    <row r="384" spans="1:7" ht="11.25" customHeight="1">
      <c r="A384" t="s">
        <v>16</v>
      </c>
      <c t="s">
        <v>6169</v>
      </c>
      <c t="s">
        <v>6170</v>
      </c>
      <c t="s">
        <v>6180</v>
      </c>
      <c t="s">
        <v>6181</v>
      </c>
      <c t="s">
        <v>5124</v>
      </c>
      <c t="s">
        <v>6182</v>
      </c>
    </row>
    <row r="385" spans="1:7" ht="11.25" customHeight="1">
      <c r="A385" t="s">
        <v>16</v>
      </c>
      <c t="s">
        <v>6169</v>
      </c>
      <c t="s">
        <v>6170</v>
      </c>
      <c t="s">
        <v>6183</v>
      </c>
      <c t="s">
        <v>6184</v>
      </c>
      <c t="s">
        <v>5121</v>
      </c>
      <c t="s">
        <v>6185</v>
      </c>
    </row>
    <row r="386" spans="1:7" ht="11.25" customHeight="1">
      <c r="A386" t="s">
        <v>16</v>
      </c>
      <c t="s">
        <v>6169</v>
      </c>
      <c t="s">
        <v>6170</v>
      </c>
      <c t="s">
        <v>5499</v>
      </c>
      <c t="s">
        <v>6186</v>
      </c>
      <c t="s">
        <v>5124</v>
      </c>
      <c t="s">
        <v>6187</v>
      </c>
    </row>
    <row r="387" spans="1:7" ht="11.25" customHeight="1">
      <c r="A387" t="s">
        <v>16</v>
      </c>
      <c t="s">
        <v>6169</v>
      </c>
      <c t="s">
        <v>6170</v>
      </c>
      <c t="s">
        <v>6188</v>
      </c>
      <c t="s">
        <v>6189</v>
      </c>
      <c t="s">
        <v>5124</v>
      </c>
      <c t="s">
        <v>6190</v>
      </c>
    </row>
    <row r="388" spans="1:7" ht="11.25" customHeight="1">
      <c r="A388" t="s">
        <v>16</v>
      </c>
      <c t="s">
        <v>6169</v>
      </c>
      <c t="s">
        <v>6170</v>
      </c>
      <c t="s">
        <v>6169</v>
      </c>
      <c t="s">
        <v>6170</v>
      </c>
      <c t="s">
        <v>5115</v>
      </c>
      <c t="s">
        <v>6191</v>
      </c>
    </row>
    <row r="389" spans="1:7" ht="11.25" customHeight="1">
      <c r="A389" t="s">
        <v>16</v>
      </c>
      <c t="s">
        <v>6169</v>
      </c>
      <c t="s">
        <v>6170</v>
      </c>
      <c t="s">
        <v>6192</v>
      </c>
      <c t="s">
        <v>6193</v>
      </c>
      <c t="s">
        <v>5118</v>
      </c>
      <c t="s">
        <v>6194</v>
      </c>
    </row>
    <row r="390" spans="1:7" ht="11.25" customHeight="1">
      <c r="A390" t="s">
        <v>16</v>
      </c>
      <c t="s">
        <v>6169</v>
      </c>
      <c t="s">
        <v>6170</v>
      </c>
      <c t="s">
        <v>6195</v>
      </c>
      <c t="s">
        <v>6196</v>
      </c>
      <c t="s">
        <v>5124</v>
      </c>
      <c t="s">
        <v>6197</v>
      </c>
    </row>
    <row r="391" spans="1:7" ht="11.25" customHeight="1">
      <c r="A391" t="s">
        <v>16</v>
      </c>
      <c t="s">
        <v>6169</v>
      </c>
      <c t="s">
        <v>6170</v>
      </c>
      <c t="s">
        <v>6198</v>
      </c>
      <c t="s">
        <v>6199</v>
      </c>
      <c t="s">
        <v>5124</v>
      </c>
      <c t="s">
        <v>6200</v>
      </c>
    </row>
    <row r="392" spans="1:7" ht="11.25" customHeight="1">
      <c r="A392" t="s">
        <v>16</v>
      </c>
      <c t="s">
        <v>6201</v>
      </c>
      <c t="s">
        <v>6202</v>
      </c>
      <c t="s">
        <v>5870</v>
      </c>
      <c t="s">
        <v>6203</v>
      </c>
      <c t="s">
        <v>5124</v>
      </c>
      <c t="s">
        <v>6204</v>
      </c>
    </row>
    <row r="393" spans="1:7" ht="11.25" customHeight="1">
      <c r="A393" t="s">
        <v>16</v>
      </c>
      <c t="s">
        <v>6201</v>
      </c>
      <c t="s">
        <v>6202</v>
      </c>
      <c t="s">
        <v>6205</v>
      </c>
      <c t="s">
        <v>6206</v>
      </c>
      <c t="s">
        <v>5124</v>
      </c>
      <c t="s">
        <v>6207</v>
      </c>
    </row>
    <row r="394" spans="1:7" ht="11.25" customHeight="1">
      <c r="A394" t="s">
        <v>16</v>
      </c>
      <c t="s">
        <v>6201</v>
      </c>
      <c t="s">
        <v>6202</v>
      </c>
      <c t="s">
        <v>6208</v>
      </c>
      <c t="s">
        <v>6209</v>
      </c>
      <c t="s">
        <v>5124</v>
      </c>
      <c t="s">
        <v>6210</v>
      </c>
    </row>
    <row r="395" spans="1:7" ht="11.25" customHeight="1">
      <c r="A395" t="s">
        <v>16</v>
      </c>
      <c t="s">
        <v>6201</v>
      </c>
      <c t="s">
        <v>6202</v>
      </c>
      <c t="s">
        <v>6211</v>
      </c>
      <c t="s">
        <v>6212</v>
      </c>
      <c t="s">
        <v>5124</v>
      </c>
      <c t="s">
        <v>6213</v>
      </c>
    </row>
    <row r="396" spans="1:7" ht="11.25" customHeight="1">
      <c r="A396" t="s">
        <v>16</v>
      </c>
      <c t="s">
        <v>6201</v>
      </c>
      <c t="s">
        <v>6202</v>
      </c>
      <c t="s">
        <v>6214</v>
      </c>
      <c t="s">
        <v>6215</v>
      </c>
      <c t="s">
        <v>5124</v>
      </c>
      <c t="s">
        <v>6216</v>
      </c>
    </row>
    <row r="397" spans="1:7" ht="11.25" customHeight="1">
      <c r="A397" t="s">
        <v>16</v>
      </c>
      <c t="s">
        <v>6201</v>
      </c>
      <c t="s">
        <v>6202</v>
      </c>
      <c t="s">
        <v>6217</v>
      </c>
      <c t="s">
        <v>6218</v>
      </c>
      <c t="s">
        <v>5124</v>
      </c>
      <c t="s">
        <v>6219</v>
      </c>
    </row>
    <row r="398" spans="1:7" ht="11.25" customHeight="1">
      <c r="A398" t="s">
        <v>16</v>
      </c>
      <c t="s">
        <v>6201</v>
      </c>
      <c t="s">
        <v>6202</v>
      </c>
      <c t="s">
        <v>6220</v>
      </c>
      <c t="s">
        <v>6221</v>
      </c>
      <c t="s">
        <v>5124</v>
      </c>
      <c t="s">
        <v>6222</v>
      </c>
    </row>
    <row r="399" spans="1:7" ht="11.25" customHeight="1">
      <c r="A399" t="s">
        <v>16</v>
      </c>
      <c t="s">
        <v>6201</v>
      </c>
      <c t="s">
        <v>6202</v>
      </c>
      <c t="s">
        <v>6223</v>
      </c>
      <c t="s">
        <v>6224</v>
      </c>
      <c t="s">
        <v>5124</v>
      </c>
      <c t="s">
        <v>6225</v>
      </c>
    </row>
    <row r="400" spans="1:7" ht="11.25" customHeight="1">
      <c r="A400" t="s">
        <v>16</v>
      </c>
      <c t="s">
        <v>6201</v>
      </c>
      <c t="s">
        <v>6202</v>
      </c>
      <c t="s">
        <v>6226</v>
      </c>
      <c t="s">
        <v>6227</v>
      </c>
      <c t="s">
        <v>5124</v>
      </c>
      <c t="s">
        <v>6228</v>
      </c>
    </row>
    <row r="401" spans="1:7" ht="11.25" customHeight="1">
      <c r="A401" t="s">
        <v>16</v>
      </c>
      <c t="s">
        <v>6201</v>
      </c>
      <c t="s">
        <v>6202</v>
      </c>
      <c t="s">
        <v>6201</v>
      </c>
      <c t="s">
        <v>6202</v>
      </c>
      <c t="s">
        <v>5115</v>
      </c>
      <c t="s">
        <v>6229</v>
      </c>
    </row>
    <row r="402" spans="1:7" ht="11.25" customHeight="1">
      <c r="A402" t="s">
        <v>16</v>
      </c>
      <c t="s">
        <v>6201</v>
      </c>
      <c t="s">
        <v>6202</v>
      </c>
      <c t="s">
        <v>5167</v>
      </c>
      <c t="s">
        <v>6230</v>
      </c>
      <c t="s">
        <v>5124</v>
      </c>
      <c t="s">
        <v>6231</v>
      </c>
    </row>
    <row r="403" spans="1:7" ht="11.25" customHeight="1">
      <c r="A403" t="s">
        <v>16</v>
      </c>
      <c t="s">
        <v>6232</v>
      </c>
      <c t="s">
        <v>6233</v>
      </c>
      <c t="s">
        <v>5336</v>
      </c>
      <c t="s">
        <v>6234</v>
      </c>
      <c t="s">
        <v>5124</v>
      </c>
      <c t="s">
        <v>6235</v>
      </c>
    </row>
    <row r="404" spans="1:7" ht="11.25" customHeight="1">
      <c r="A404" t="s">
        <v>16</v>
      </c>
      <c t="s">
        <v>6232</v>
      </c>
      <c t="s">
        <v>6233</v>
      </c>
      <c t="s">
        <v>6139</v>
      </c>
      <c t="s">
        <v>6236</v>
      </c>
      <c t="s">
        <v>5124</v>
      </c>
      <c t="s">
        <v>6237</v>
      </c>
    </row>
    <row r="405" spans="1:7" ht="11.25" customHeight="1">
      <c r="A405" t="s">
        <v>16</v>
      </c>
      <c t="s">
        <v>6232</v>
      </c>
      <c t="s">
        <v>6233</v>
      </c>
      <c t="s">
        <v>6238</v>
      </c>
      <c t="s">
        <v>6239</v>
      </c>
      <c t="s">
        <v>5124</v>
      </c>
      <c t="s">
        <v>6240</v>
      </c>
    </row>
    <row r="406" spans="1:7" ht="11.25" customHeight="1">
      <c r="A406" t="s">
        <v>16</v>
      </c>
      <c t="s">
        <v>6232</v>
      </c>
      <c t="s">
        <v>6233</v>
      </c>
      <c t="s">
        <v>6241</v>
      </c>
      <c t="s">
        <v>6242</v>
      </c>
      <c t="s">
        <v>5124</v>
      </c>
      <c t="s">
        <v>6243</v>
      </c>
    </row>
    <row r="407" spans="1:7" ht="11.25" customHeight="1">
      <c r="A407" t="s">
        <v>16</v>
      </c>
      <c t="s">
        <v>6232</v>
      </c>
      <c t="s">
        <v>6233</v>
      </c>
      <c t="s">
        <v>5690</v>
      </c>
      <c t="s">
        <v>6244</v>
      </c>
      <c t="s">
        <v>5124</v>
      </c>
      <c t="s">
        <v>6245</v>
      </c>
    </row>
    <row r="408" spans="1:7" ht="11.25" customHeight="1">
      <c r="A408" t="s">
        <v>16</v>
      </c>
      <c t="s">
        <v>6232</v>
      </c>
      <c t="s">
        <v>6233</v>
      </c>
      <c t="s">
        <v>6246</v>
      </c>
      <c t="s">
        <v>6247</v>
      </c>
      <c t="s">
        <v>5124</v>
      </c>
      <c t="s">
        <v>6248</v>
      </c>
    </row>
    <row r="409" spans="1:7" ht="11.25" customHeight="1">
      <c r="A409" t="s">
        <v>16</v>
      </c>
      <c t="s">
        <v>6232</v>
      </c>
      <c t="s">
        <v>6233</v>
      </c>
      <c t="s">
        <v>6249</v>
      </c>
      <c t="s">
        <v>6250</v>
      </c>
      <c t="s">
        <v>5124</v>
      </c>
      <c t="s">
        <v>6251</v>
      </c>
    </row>
    <row r="410" spans="1:7" ht="11.25" customHeight="1">
      <c r="A410" t="s">
        <v>16</v>
      </c>
      <c t="s">
        <v>6232</v>
      </c>
      <c t="s">
        <v>6233</v>
      </c>
      <c t="s">
        <v>6252</v>
      </c>
      <c t="s">
        <v>6253</v>
      </c>
      <c t="s">
        <v>5124</v>
      </c>
      <c t="s">
        <v>6254</v>
      </c>
    </row>
    <row r="411" spans="1:7" ht="11.25" customHeight="1">
      <c r="A411" t="s">
        <v>16</v>
      </c>
      <c t="s">
        <v>6232</v>
      </c>
      <c t="s">
        <v>6233</v>
      </c>
      <c t="s">
        <v>6255</v>
      </c>
      <c t="s">
        <v>6256</v>
      </c>
      <c t="s">
        <v>5124</v>
      </c>
      <c t="s">
        <v>6257</v>
      </c>
    </row>
    <row r="412" spans="1:7" ht="11.25" customHeight="1">
      <c r="A412" t="s">
        <v>16</v>
      </c>
      <c t="s">
        <v>6232</v>
      </c>
      <c t="s">
        <v>6233</v>
      </c>
      <c t="s">
        <v>6258</v>
      </c>
      <c t="s">
        <v>6259</v>
      </c>
      <c t="s">
        <v>5124</v>
      </c>
      <c t="s">
        <v>6260</v>
      </c>
    </row>
    <row r="413" spans="1:7" ht="11.25" customHeight="1">
      <c r="A413" t="s">
        <v>16</v>
      </c>
      <c t="s">
        <v>6232</v>
      </c>
      <c t="s">
        <v>6233</v>
      </c>
      <c t="s">
        <v>6261</v>
      </c>
      <c t="s">
        <v>6262</v>
      </c>
      <c t="s">
        <v>5124</v>
      </c>
      <c t="s">
        <v>6263</v>
      </c>
    </row>
    <row r="414" spans="1:7" ht="11.25" customHeight="1">
      <c r="A414" t="s">
        <v>16</v>
      </c>
      <c t="s">
        <v>6232</v>
      </c>
      <c t="s">
        <v>6233</v>
      </c>
      <c t="s">
        <v>6264</v>
      </c>
      <c t="s">
        <v>6265</v>
      </c>
      <c t="s">
        <v>5124</v>
      </c>
      <c t="s">
        <v>6266</v>
      </c>
    </row>
    <row r="415" spans="1:7" ht="11.25" customHeight="1">
      <c r="A415" t="s">
        <v>16</v>
      </c>
      <c t="s">
        <v>6232</v>
      </c>
      <c t="s">
        <v>6233</v>
      </c>
      <c t="s">
        <v>6267</v>
      </c>
      <c t="s">
        <v>6268</v>
      </c>
      <c t="s">
        <v>5124</v>
      </c>
      <c t="s">
        <v>6269</v>
      </c>
    </row>
    <row r="416" spans="1:7" ht="11.25" customHeight="1">
      <c r="A416" t="s">
        <v>16</v>
      </c>
      <c t="s">
        <v>6232</v>
      </c>
      <c t="s">
        <v>6233</v>
      </c>
      <c t="s">
        <v>6188</v>
      </c>
      <c t="s">
        <v>6270</v>
      </c>
      <c t="s">
        <v>5124</v>
      </c>
      <c t="s">
        <v>6271</v>
      </c>
    </row>
    <row r="417" spans="1:7" ht="11.25" customHeight="1">
      <c r="A417" t="s">
        <v>16</v>
      </c>
      <c t="s">
        <v>6232</v>
      </c>
      <c t="s">
        <v>6233</v>
      </c>
      <c t="s">
        <v>6232</v>
      </c>
      <c t="s">
        <v>6233</v>
      </c>
      <c t="s">
        <v>5115</v>
      </c>
      <c t="s">
        <v>6272</v>
      </c>
    </row>
    <row r="418" spans="1:7" ht="11.25" customHeight="1">
      <c r="A418" t="s">
        <v>16</v>
      </c>
      <c t="s">
        <v>6232</v>
      </c>
      <c t="s">
        <v>6233</v>
      </c>
      <c t="s">
        <v>6273</v>
      </c>
      <c t="s">
        <v>6274</v>
      </c>
      <c t="s">
        <v>5118</v>
      </c>
      <c t="s">
        <v>6275</v>
      </c>
    </row>
    <row r="419" spans="1:7" ht="11.25" customHeight="1">
      <c r="A419" t="s">
        <v>16</v>
      </c>
      <c t="s">
        <v>6276</v>
      </c>
      <c t="s">
        <v>6277</v>
      </c>
      <c t="s">
        <v>6278</v>
      </c>
      <c t="s">
        <v>6279</v>
      </c>
      <c t="s">
        <v>5124</v>
      </c>
      <c t="s">
        <v>6280</v>
      </c>
    </row>
    <row r="420" spans="1:7" ht="11.25" customHeight="1">
      <c r="A420" t="s">
        <v>16</v>
      </c>
      <c t="s">
        <v>6276</v>
      </c>
      <c t="s">
        <v>6277</v>
      </c>
      <c t="s">
        <v>6281</v>
      </c>
      <c t="s">
        <v>6282</v>
      </c>
      <c t="s">
        <v>5124</v>
      </c>
      <c t="s">
        <v>6283</v>
      </c>
    </row>
    <row r="421" spans="1:7" ht="11.25" customHeight="1">
      <c r="A421" t="s">
        <v>16</v>
      </c>
      <c t="s">
        <v>6276</v>
      </c>
      <c t="s">
        <v>6277</v>
      </c>
      <c t="s">
        <v>6284</v>
      </c>
      <c t="s">
        <v>6285</v>
      </c>
      <c t="s">
        <v>5124</v>
      </c>
      <c t="s">
        <v>6286</v>
      </c>
    </row>
    <row r="422" spans="1:7" ht="11.25" customHeight="1">
      <c r="A422" t="s">
        <v>16</v>
      </c>
      <c t="s">
        <v>6276</v>
      </c>
      <c t="s">
        <v>6277</v>
      </c>
      <c t="s">
        <v>6217</v>
      </c>
      <c t="s">
        <v>6287</v>
      </c>
      <c t="s">
        <v>5124</v>
      </c>
      <c t="s">
        <v>6288</v>
      </c>
    </row>
    <row r="423" spans="1:7" ht="11.25" customHeight="1">
      <c r="A423" t="s">
        <v>16</v>
      </c>
      <c t="s">
        <v>6276</v>
      </c>
      <c t="s">
        <v>6277</v>
      </c>
      <c t="s">
        <v>6289</v>
      </c>
      <c t="s">
        <v>6290</v>
      </c>
      <c t="s">
        <v>5124</v>
      </c>
      <c t="s">
        <v>6291</v>
      </c>
    </row>
    <row r="424" spans="1:7" ht="11.25" customHeight="1">
      <c r="A424" t="s">
        <v>16</v>
      </c>
      <c t="s">
        <v>6276</v>
      </c>
      <c t="s">
        <v>6277</v>
      </c>
      <c t="s">
        <v>6292</v>
      </c>
      <c t="s">
        <v>6293</v>
      </c>
      <c t="s">
        <v>5124</v>
      </c>
      <c t="s">
        <v>6294</v>
      </c>
    </row>
    <row r="425" spans="1:7" ht="11.25" customHeight="1">
      <c r="A425" t="s">
        <v>16</v>
      </c>
      <c t="s">
        <v>6276</v>
      </c>
      <c t="s">
        <v>6277</v>
      </c>
      <c t="s">
        <v>6295</v>
      </c>
      <c t="s">
        <v>6296</v>
      </c>
      <c t="s">
        <v>5124</v>
      </c>
      <c t="s">
        <v>6297</v>
      </c>
    </row>
    <row r="426" spans="1:7" ht="11.25" customHeight="1">
      <c r="A426" t="s">
        <v>16</v>
      </c>
      <c t="s">
        <v>6276</v>
      </c>
      <c t="s">
        <v>6277</v>
      </c>
      <c t="s">
        <v>6276</v>
      </c>
      <c t="s">
        <v>6277</v>
      </c>
      <c t="s">
        <v>5115</v>
      </c>
      <c t="s">
        <v>6298</v>
      </c>
    </row>
    <row r="427" spans="1:7" ht="11.25" customHeight="1">
      <c r="A427" t="s">
        <v>16</v>
      </c>
      <c t="s">
        <v>6276</v>
      </c>
      <c t="s">
        <v>6277</v>
      </c>
      <c t="s">
        <v>6299</v>
      </c>
      <c t="s">
        <v>6300</v>
      </c>
      <c t="s">
        <v>5124</v>
      </c>
      <c t="s">
        <v>6301</v>
      </c>
    </row>
  </sheetData>
  <sheetProtection insertRows="0" deleteColumns="0" deleteRows="0" sort="0" autoFilter="0"/>
  <pageMargins left="0.7" right="0.7" top="0.75" bottom="0.75" header="0.3" footer="0.3"/>
  <pageSetup orientation="portrait"/>
</worksheet>
</file>

<file path=xl/worksheets/sheet8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m="http://schemas.microsoft.com/office/excel/2006/main" xmlns:x14ac="http://schemas.microsoft.com/office/spreadsheetml/2009/9/ac" xmlns:xr="http://schemas.microsoft.com/office/spreadsheetml/2014/revision" xmlns:xr2="http://schemas.microsoft.com/office/spreadsheetml/2015/revision2" xmlns:xr3="http://schemas.microsoft.com/office/spreadsheetml/2016/revision3" xr:uid="{42FB99B2-6DA1-BF92-61E8-EC8A063E2196}" mc:Ignorable="x14ac xr xr2 xr3">
  <sheetPr>
    <tabColor rgb="FFFFCC99"/>
  </sheetPr>
  <dimension ref="A1:C3"/>
  <sheetViews>
    <sheetView showGridLines="0" workbookViewId="0" topLeftCell="A1">
      <selection pane="topLeft" activeCell="A1" sqref="A1"/>
    </sheetView>
  </sheetViews>
  <sheetFormatPr defaultColWidth="9.14428571428571" defaultRowHeight="11.25" customHeight="1"/>
  <cols>
    <col min="1" max="1" width="9.14285714285714" style="1694"/>
    <col min="2" max="2" width="84.2857142857143" style="1694" customWidth="1"/>
    <col min="3" max="3" width="9.14285714285714" style="1694"/>
  </cols>
  <sheetData>
    <row r="1" spans="1:3" ht="11.25" customHeight="1">
      <c r="A1" s="838" t="s">
        <v>6332</v>
      </c>
      <c s="838" t="s">
        <v>6333</v>
      </c>
      <c s="838" t="s">
        <v>1165</v>
      </c>
    </row>
    <row r="2" spans="1:3" ht="11.25" customHeight="1">
      <c r="A2" s="838">
        <v>4189678</v>
      </c>
      <c s="838" t="s">
        <v>6334</v>
      </c>
      <c s="838" t="s">
        <v>6335</v>
      </c>
    </row>
    <row r="3" spans="1:3" ht="11.25" customHeight="1">
      <c r="A3" s="838">
        <v>4190415</v>
      </c>
      <c s="838" t="s">
        <v>6336</v>
      </c>
      <c s="838" t="s">
        <v>6335</v>
      </c>
    </row>
  </sheetData>
  <sheetProtection insertRows="0" deleteColumns="0" deleteRows="0" sort="0" autoFilter="0"/>
  <pageMargins left="0.7" right="0.7" top="0.75" bottom="0.75" header="0.3" footer="0.3"/>
  <pageSetup orientation="portrait"/>
</worksheet>
</file>

<file path=xl/worksheets/sheet8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m="http://schemas.microsoft.com/office/excel/2006/main" xmlns:x14ac="http://schemas.microsoft.com/office/spreadsheetml/2009/9/ac" xmlns:xr="http://schemas.microsoft.com/office/spreadsheetml/2014/revision" xmlns:xr2="http://schemas.microsoft.com/office/spreadsheetml/2015/revision2" xmlns:xr3="http://schemas.microsoft.com/office/spreadsheetml/2016/revision3" xr:uid="{93C5A204-71E9-E40F-5E53-A5E644BEC4B7}" mc:Ignorable="x14ac xr xr2 xr3">
  <sheetPr>
    <tabColor rgb="FFFFCC99"/>
  </sheetPr>
  <dimension ref="A1:E8"/>
  <sheetViews>
    <sheetView showGridLines="0" workbookViewId="0" topLeftCell="A1">
      <selection pane="topLeft" activeCell="A1" sqref="A1"/>
    </sheetView>
  </sheetViews>
  <sheetFormatPr defaultColWidth="9.14428571428571" defaultRowHeight="15" customHeight="1"/>
  <cols>
    <col min="1" max="1" width="38.4285714285714" style="165" customWidth="1"/>
    <col min="2" max="5" width="9.14285714285714" style="165"/>
  </cols>
  <sheetData>
    <row r="1" spans="1:5" ht="15" customHeight="1">
      <c r="A1" s="166" t="s">
        <v>6337</v>
      </c>
      <c s="166" t="s">
        <v>6338</v>
      </c>
      <c s="166"/>
      <c s="166"/>
      <c s="166"/>
    </row>
    <row r="2" spans="1:5" ht="15" customHeight="1">
      <c r="A2" s="166"/>
      <c s="166"/>
      <c s="166"/>
      <c s="166"/>
      <c s="166"/>
    </row>
    <row r="3" spans="1:5" ht="15" customHeight="1">
      <c r="A3" s="166"/>
      <c s="166"/>
      <c s="166"/>
      <c s="166"/>
      <c s="166"/>
    </row>
    <row r="4" spans="1:5" ht="15" customHeight="1">
      <c r="A4" s="166"/>
      <c s="166"/>
      <c s="166"/>
      <c s="166"/>
      <c s="166"/>
    </row>
    <row r="5" spans="1:5" ht="15" customHeight="1">
      <c r="A5" s="166"/>
      <c s="166"/>
      <c s="166"/>
      <c s="166"/>
      <c s="166"/>
    </row>
    <row r="6" spans="1:5" ht="15" customHeight="1">
      <c r="A6" s="166"/>
      <c s="166"/>
      <c s="166"/>
      <c s="166"/>
      <c s="166"/>
    </row>
    <row r="7" spans="1:5" ht="15" customHeight="1">
      <c r="A7" s="166"/>
      <c s="166"/>
      <c s="166"/>
      <c s="166"/>
      <c s="166"/>
    </row>
    <row r="8" spans="1:5" ht="15" customHeight="1">
      <c r="A8" s="166"/>
      <c s="166"/>
      <c s="166"/>
      <c s="166"/>
      <c s="166"/>
    </row>
  </sheetData>
  <sheetProtection formatColumns="0" formatRows="0" insertRows="0" deleteColumns="0" deleteRows="0" sort="0" autoFilter="0"/>
  <pageMargins left="0.7" right="0.7" top="0.75" bottom="0.75" header="0.3" footer="0.3"/>
  <pageSetup orientation="portrait"/>
</worksheet>
</file>

<file path=xl/worksheets/sheet8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m="http://schemas.microsoft.com/office/excel/2006/main" xmlns:x14ac="http://schemas.microsoft.com/office/spreadsheetml/2009/9/ac" xmlns:xr="http://schemas.microsoft.com/office/spreadsheetml/2014/revision" xmlns:xr2="http://schemas.microsoft.com/office/spreadsheetml/2015/revision2" xmlns:xr3="http://schemas.microsoft.com/office/spreadsheetml/2016/revision3" xr:uid="{C4133511-6FA7-B624-203F-3953A60A5F5E}" mc:Ignorable="x14ac xr xr2 xr3">
  <sheetPr>
    <tabColor rgb="FFFFCC99"/>
  </sheetPr>
  <dimension ref="A1:B15"/>
  <sheetViews>
    <sheetView workbookViewId="0" topLeftCell="A1">
      <selection pane="topLeft" activeCell="A1" sqref="A1"/>
    </sheetView>
  </sheetViews>
  <sheetFormatPr defaultRowHeight="11.25" customHeight="1"/>
  <sheetData>
    <row r="1" spans="1:2" ht="11.25" customHeight="1">
      <c r="A1" t="s">
        <v>6339</v>
      </c>
      <c t="b">
        <v>1</v>
      </c>
    </row>
    <row r="2" spans="1:2" ht="11.25" customHeight="1">
      <c r="A2" t="s">
        <v>6340</v>
      </c>
      <c t="b">
        <v>0</v>
      </c>
    </row>
    <row r="3" spans="1:2" ht="11.25" customHeight="1">
      <c r="A3" t="s">
        <v>6341</v>
      </c>
      <c t="b">
        <v>0</v>
      </c>
    </row>
    <row r="4" spans="1:2" ht="11.25" customHeight="1">
      <c r="A4" t="s">
        <v>6342</v>
      </c>
      <c t="b">
        <v>0</v>
      </c>
    </row>
    <row r="5" spans="1:2" ht="11.25" customHeight="1">
      <c r="A5" t="s">
        <v>6343</v>
      </c>
      <c t="b">
        <v>1</v>
      </c>
    </row>
    <row r="6" spans="1:2" ht="11.25" customHeight="1">
      <c r="A6" t="s">
        <v>6344</v>
      </c>
      <c t="b">
        <v>0</v>
      </c>
    </row>
    <row r="7" spans="1:2" ht="11.25" customHeight="1">
      <c r="A7" t="s">
        <v>6345</v>
      </c>
      <c t="b">
        <v>0</v>
      </c>
    </row>
    <row r="8" spans="1:2" ht="11.25" customHeight="1">
      <c r="A8" t="s">
        <v>6346</v>
      </c>
      <c t="b">
        <v>0</v>
      </c>
    </row>
    <row r="9" spans="1:2" ht="11.25" customHeight="1">
      <c r="A9" t="s">
        <v>6347</v>
      </c>
      <c t="b">
        <v>0</v>
      </c>
    </row>
    <row r="10" spans="1:2" ht="11.25" customHeight="1">
      <c r="A10" t="s">
        <v>6348</v>
      </c>
      <c t="b">
        <v>0</v>
      </c>
    </row>
    <row r="11" spans="1:2" ht="11.25" customHeight="1">
      <c r="A11" t="s">
        <v>6349</v>
      </c>
      <c t="b">
        <v>1</v>
      </c>
    </row>
    <row r="12" spans="1:2" ht="11.25" customHeight="1">
      <c r="A12" t="s">
        <v>6350</v>
      </c>
      <c t="b">
        <v>0</v>
      </c>
    </row>
    <row r="13" spans="1:2" ht="11.25" customHeight="1">
      <c r="A13" t="s">
        <v>6351</v>
      </c>
      <c t="b">
        <v>0</v>
      </c>
    </row>
    <row r="14" spans="1:2" ht="11.25" customHeight="1">
      <c r="A14" t="s">
        <v>6352</v>
      </c>
      <c t="b">
        <v>0</v>
      </c>
    </row>
    <row r="15" spans="1:2" ht="11.25" customHeight="1">
      <c r="A15" t="s">
        <v>6353</v>
      </c>
      <c t="b">
        <v>1</v>
      </c>
    </row>
  </sheetData>
  <sheetProtection insertRows="0" deleteColumns="0" deleteRows="0" sort="0" autoFilter="0"/>
  <pageMargins left="0.7" right="0.7" top="0.75" bottom="0.75" header="0.3" footer="0.3"/>
  <pageSetup orientation="portrait"/>
</worksheet>
</file>

<file path=xl/worksheets/sheet8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m="http://schemas.microsoft.com/office/excel/2006/main" xmlns:x14ac="http://schemas.microsoft.com/office/spreadsheetml/2009/9/ac" xmlns:xr="http://schemas.microsoft.com/office/spreadsheetml/2014/revision" xmlns:xr2="http://schemas.microsoft.com/office/spreadsheetml/2015/revision2" xmlns:xr3="http://schemas.microsoft.com/office/spreadsheetml/2016/revision3" xr:uid="{49881CCE-A1B9-2FBD-2886-86E9B23DAFCA}" mc:Ignorable="x14ac xr xr2 xr3">
  <sheetPr>
    <tabColor rgb="FFFFCC99"/>
  </sheetPr>
  <dimension ref="A1"/>
  <sheetViews>
    <sheetView showGridLines="0" workbookViewId="0" topLeftCell="A1">
      <selection pane="topLeft" activeCell="A1" sqref="A1"/>
    </sheetView>
  </sheetViews>
  <sheetFormatPr defaultColWidth="9.14428571428571" defaultRowHeight="12.75" customHeight="1"/>
  <cols>
    <col min="1" max="1" width="9.14285714285714" style="2638"/>
  </cols>
  <sheetData>
    <row r="1" spans="1:1" ht="12.75" customHeight="1">
      <c r="A1" s="62"/>
    </row>
  </sheetData>
  <sheetProtection insertRows="0" deleteColumns="0" deleteRows="0" sort="0" autoFilter="0"/>
  <pageMargins left="0.75" right="0.75" top="1" bottom="1" header="0.5" footer="0.5"/>
  <pageSetup orientation="portrait"/>
</worksheet>
</file>

<file path=xl/worksheets/sheet8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m="http://schemas.microsoft.com/office/excel/2006/main" xmlns:x14ac="http://schemas.microsoft.com/office/spreadsheetml/2009/9/ac" xmlns:xr="http://schemas.microsoft.com/office/spreadsheetml/2014/revision" xmlns:xr2="http://schemas.microsoft.com/office/spreadsheetml/2015/revision2" xmlns:xr3="http://schemas.microsoft.com/office/spreadsheetml/2016/revision3" xr:uid="{1FBF31CC-DF58-B345-5411-A61D5B4ED515}" mc:Ignorable="x14ac xr xr2 xr3">
  <sheetPr>
    <tabColor rgb="FFFFCC99"/>
  </sheetPr>
  <dimension ref="A1:B253"/>
  <sheetViews>
    <sheetView showGridLines="0" workbookViewId="0" topLeftCell="A1">
      <selection pane="topLeft" activeCell="A1" sqref="A1"/>
    </sheetView>
  </sheetViews>
  <sheetFormatPr defaultColWidth="9.14428571428571" defaultRowHeight="11.25" customHeight="1"/>
  <cols>
    <col min="1" max="1" width="36.2857142857143" style="1853" customWidth="1"/>
    <col min="2" max="2" width="21.1428571428571" style="1853" customWidth="1"/>
  </cols>
  <sheetData>
    <row r="1" spans="1:2" ht="11.25" customHeight="1">
      <c r="A1" s="70" t="s">
        <v>6354</v>
      </c>
      <c s="70" t="s">
        <v>6355</v>
      </c>
    </row>
    <row r="2" spans="1:2" ht="11.25" customHeight="1">
      <c r="A2" s="67" t="s">
        <v>6356</v>
      </c>
      <c s="67" t="s">
        <v>6357</v>
      </c>
    </row>
    <row r="3" spans="1:2" ht="11.25" customHeight="1">
      <c r="A3" s="67" t="s">
        <v>6358</v>
      </c>
      <c s="67" t="s">
        <v>6359</v>
      </c>
    </row>
    <row r="4" spans="1:2" ht="11.25" customHeight="1">
      <c r="A4" s="67" t="s">
        <v>6360</v>
      </c>
      <c s="67" t="s">
        <v>6361</v>
      </c>
    </row>
    <row r="5" spans="1:2" ht="11.25" customHeight="1">
      <c r="A5" s="67" t="s">
        <v>6362</v>
      </c>
      <c s="67" t="s">
        <v>6363</v>
      </c>
    </row>
    <row r="6" spans="1:2" ht="11.25" customHeight="1">
      <c r="A6" s="67" t="s">
        <v>6364</v>
      </c>
      <c s="67" t="s">
        <v>6365</v>
      </c>
    </row>
    <row r="7" spans="1:2" ht="11.25" customHeight="1">
      <c r="A7" s="67" t="s">
        <v>6366</v>
      </c>
      <c s="67" t="s">
        <v>6367</v>
      </c>
    </row>
    <row r="8" spans="1:2" ht="11.25" customHeight="1">
      <c r="A8" s="67" t="s">
        <v>6368</v>
      </c>
      <c s="67" t="s">
        <v>6369</v>
      </c>
    </row>
    <row r="9" spans="1:2" ht="11.25" customHeight="1">
      <c r="A9" s="67" t="s">
        <v>6370</v>
      </c>
      <c s="67" t="s">
        <v>6371</v>
      </c>
    </row>
    <row r="10" spans="1:2" ht="11.25" customHeight="1">
      <c r="A10" s="67" t="s">
        <v>6372</v>
      </c>
      <c s="67" t="s">
        <v>6373</v>
      </c>
    </row>
    <row r="11" spans="1:2" ht="11.25" customHeight="1">
      <c r="A11" s="67" t="s">
        <v>6374</v>
      </c>
      <c s="67" t="s">
        <v>6375</v>
      </c>
    </row>
    <row r="12" spans="1:2" ht="11.25" customHeight="1">
      <c r="A12" s="67" t="s">
        <v>6376</v>
      </c>
      <c s="67" t="s">
        <v>6377</v>
      </c>
    </row>
    <row r="13" spans="1:2" ht="11.25" customHeight="1">
      <c r="A13" s="67" t="s">
        <v>6378</v>
      </c>
      <c s="67" t="s">
        <v>6379</v>
      </c>
    </row>
    <row r="14" spans="1:2" ht="11.25" customHeight="1">
      <c r="A14" s="67" t="s">
        <v>6380</v>
      </c>
      <c s="67" t="s">
        <v>6381</v>
      </c>
    </row>
    <row r="15" spans="1:2" ht="11.25" customHeight="1">
      <c r="A15" s="67" t="s">
        <v>6382</v>
      </c>
      <c s="67" t="s">
        <v>6383</v>
      </c>
    </row>
    <row r="16" spans="1:2" ht="11.25" customHeight="1">
      <c r="A16" s="67" t="s">
        <v>6384</v>
      </c>
      <c s="67" t="s">
        <v>6385</v>
      </c>
    </row>
    <row r="17" spans="1:2" ht="11.25" customHeight="1">
      <c r="A17" s="67" t="s">
        <v>6386</v>
      </c>
      <c s="67" t="s">
        <v>6387</v>
      </c>
    </row>
    <row r="18" spans="1:2" ht="11.25" customHeight="1">
      <c r="A18" s="67" t="s">
        <v>6388</v>
      </c>
      <c s="67" t="s">
        <v>6389</v>
      </c>
    </row>
    <row r="19" spans="1:2" ht="11.25" customHeight="1">
      <c r="A19" s="67" t="s">
        <v>6390</v>
      </c>
      <c s="67" t="s">
        <v>6391</v>
      </c>
    </row>
    <row r="20" spans="1:2" ht="11.25" customHeight="1">
      <c r="A20" s="67" t="s">
        <v>6392</v>
      </c>
      <c s="67" t="s">
        <v>6393</v>
      </c>
    </row>
    <row r="21" spans="1:2" ht="11.25" customHeight="1">
      <c r="A21" s="67" t="s">
        <v>6394</v>
      </c>
      <c s="67" t="s">
        <v>6395</v>
      </c>
    </row>
    <row r="22" spans="1:2" ht="11.25" customHeight="1">
      <c r="A22" s="67" t="s">
        <v>6396</v>
      </c>
      <c s="67" t="s">
        <v>6397</v>
      </c>
    </row>
    <row r="23" spans="1:2" ht="11.25" customHeight="1">
      <c r="A23" s="67" t="s">
        <v>6398</v>
      </c>
      <c s="67" t="s">
        <v>6399</v>
      </c>
    </row>
    <row r="24" spans="1:2" ht="11.25" customHeight="1">
      <c r="A24" s="67" t="s">
        <v>6400</v>
      </c>
      <c s="67" t="s">
        <v>6401</v>
      </c>
    </row>
    <row r="25" spans="1:2" ht="11.25" customHeight="1">
      <c r="A25" s="67" t="s">
        <v>6402</v>
      </c>
      <c s="67" t="s">
        <v>6403</v>
      </c>
    </row>
    <row r="26" spans="1:2" ht="11.25" customHeight="1">
      <c r="A26" s="67" t="s">
        <v>6404</v>
      </c>
      <c s="67" t="s">
        <v>6405</v>
      </c>
    </row>
    <row r="27" spans="1:2" ht="11.25" customHeight="1">
      <c r="A27" s="67" t="s">
        <v>6406</v>
      </c>
      <c s="67" t="s">
        <v>6407</v>
      </c>
    </row>
    <row r="28" spans="1:2" ht="11.25" customHeight="1">
      <c r="A28" s="67" t="s">
        <v>6408</v>
      </c>
      <c s="67" t="s">
        <v>6409</v>
      </c>
    </row>
    <row r="29" spans="1:2" ht="11.25" customHeight="1">
      <c r="A29" s="67" t="s">
        <v>6410</v>
      </c>
      <c s="67" t="s">
        <v>6411</v>
      </c>
    </row>
    <row r="30" spans="1:2" ht="11.25" customHeight="1">
      <c r="A30" s="67" t="s">
        <v>6412</v>
      </c>
      <c s="67" t="s">
        <v>6413</v>
      </c>
    </row>
    <row r="31" spans="1:2" ht="11.25" customHeight="1">
      <c r="A31" s="67" t="s">
        <v>6414</v>
      </c>
      <c s="67" t="s">
        <v>6415</v>
      </c>
    </row>
    <row r="32" spans="1:2" ht="11.25" customHeight="1">
      <c r="A32" s="67" t="s">
        <v>6416</v>
      </c>
      <c s="67" t="s">
        <v>6417</v>
      </c>
    </row>
    <row r="33" spans="1:2" ht="11.25" customHeight="1">
      <c r="A33" s="67" t="s">
        <v>6418</v>
      </c>
      <c s="67" t="s">
        <v>6419</v>
      </c>
    </row>
    <row r="34" spans="1:2" ht="11.25" customHeight="1">
      <c r="A34" s="67" t="s">
        <v>6420</v>
      </c>
      <c s="67" t="s">
        <v>6421</v>
      </c>
    </row>
    <row r="35" spans="1:2" ht="11.25" customHeight="1">
      <c r="A35" s="67" t="s">
        <v>6422</v>
      </c>
      <c s="67" t="s">
        <v>6423</v>
      </c>
    </row>
    <row r="36" spans="1:2" ht="11.25" customHeight="1">
      <c r="A36" s="67" t="s">
        <v>6424</v>
      </c>
      <c s="67" t="s">
        <v>6425</v>
      </c>
    </row>
    <row r="37" spans="1:2" ht="11.25" customHeight="1">
      <c r="A37" s="67" t="s">
        <v>6426</v>
      </c>
      <c s="67" t="s">
        <v>6427</v>
      </c>
    </row>
    <row r="38" spans="1:2" ht="11.25" customHeight="1">
      <c r="A38" s="67" t="s">
        <v>6428</v>
      </c>
      <c s="67" t="s">
        <v>6429</v>
      </c>
    </row>
    <row r="39" spans="1:2" ht="11.25" customHeight="1">
      <c r="A39" s="67" t="s">
        <v>6430</v>
      </c>
      <c s="67" t="s">
        <v>6431</v>
      </c>
    </row>
    <row r="40" spans="1:2" ht="11.25" customHeight="1">
      <c r="A40" s="67" t="s">
        <v>6432</v>
      </c>
      <c s="67" t="s">
        <v>6433</v>
      </c>
    </row>
    <row r="41" spans="1:2" ht="11.25" customHeight="1">
      <c r="A41" s="67" t="s">
        <v>6434</v>
      </c>
      <c s="67" t="s">
        <v>6435</v>
      </c>
    </row>
    <row r="42" spans="1:2" ht="11.25" customHeight="1">
      <c r="A42" s="67" t="s">
        <v>6436</v>
      </c>
      <c s="67" t="s">
        <v>6437</v>
      </c>
    </row>
    <row r="43" spans="1:2" ht="11.25" customHeight="1">
      <c r="A43" s="67" t="s">
        <v>6438</v>
      </c>
      <c s="67" t="s">
        <v>6439</v>
      </c>
    </row>
    <row r="44" spans="1:2" ht="11.25" customHeight="1">
      <c r="A44" s="67" t="s">
        <v>6440</v>
      </c>
      <c s="67" t="s">
        <v>6441</v>
      </c>
    </row>
    <row r="45" spans="1:2" ht="11.25" customHeight="1">
      <c r="A45" s="67" t="s">
        <v>6442</v>
      </c>
      <c s="67" t="s">
        <v>6443</v>
      </c>
    </row>
    <row r="46" spans="1:2" ht="11.25" customHeight="1">
      <c r="A46" s="67" t="s">
        <v>6444</v>
      </c>
      <c s="67" t="s">
        <v>6445</v>
      </c>
    </row>
    <row r="47" spans="1:2" ht="11.25" customHeight="1">
      <c r="A47" s="67" t="s">
        <v>6446</v>
      </c>
      <c s="67" t="s">
        <v>6447</v>
      </c>
    </row>
    <row r="48" spans="1:2" ht="11.25" customHeight="1">
      <c r="A48" s="67" t="s">
        <v>6448</v>
      </c>
      <c s="67" t="s">
        <v>6449</v>
      </c>
    </row>
    <row r="49" spans="1:2" ht="11.25" customHeight="1">
      <c r="A49" s="67" t="s">
        <v>6450</v>
      </c>
      <c s="67" t="s">
        <v>6451</v>
      </c>
    </row>
    <row r="50" spans="1:2" ht="11.25" customHeight="1">
      <c r="A50" s="67" t="s">
        <v>6452</v>
      </c>
      <c s="67" t="s">
        <v>6453</v>
      </c>
    </row>
    <row r="51" spans="1:2" ht="11.25" customHeight="1">
      <c r="A51" s="67" t="s">
        <v>6454</v>
      </c>
      <c s="67" t="s">
        <v>6455</v>
      </c>
    </row>
    <row r="52" spans="1:2" ht="11.25" customHeight="1">
      <c r="A52" s="67" t="s">
        <v>6456</v>
      </c>
      <c s="67" t="s">
        <v>6457</v>
      </c>
    </row>
    <row r="53" spans="1:2" ht="11.25" customHeight="1">
      <c r="A53" s="67" t="s">
        <v>6458</v>
      </c>
      <c s="67" t="s">
        <v>6459</v>
      </c>
    </row>
    <row r="54" spans="1:2" ht="11.25" customHeight="1">
      <c r="A54" s="67" t="s">
        <v>6460</v>
      </c>
      <c s="67" t="s">
        <v>6461</v>
      </c>
    </row>
    <row r="55" spans="1:2" ht="11.25" customHeight="1">
      <c r="A55" s="67" t="s">
        <v>6462</v>
      </c>
      <c s="67" t="s">
        <v>6463</v>
      </c>
    </row>
    <row r="56" spans="1:2" ht="11.25" customHeight="1">
      <c r="A56" s="67" t="s">
        <v>6464</v>
      </c>
      <c s="67" t="s">
        <v>6465</v>
      </c>
    </row>
    <row r="57" spans="1:2" ht="11.25" customHeight="1">
      <c r="A57" s="67" t="s">
        <v>6466</v>
      </c>
      <c s="67" t="s">
        <v>6467</v>
      </c>
    </row>
    <row r="58" spans="1:2" ht="11.25" customHeight="1">
      <c r="A58" s="67" t="s">
        <v>6468</v>
      </c>
      <c s="67" t="s">
        <v>6469</v>
      </c>
    </row>
    <row r="59" spans="1:2" ht="11.25" customHeight="1">
      <c r="A59" s="67" t="s">
        <v>6470</v>
      </c>
      <c s="67" t="s">
        <v>6471</v>
      </c>
    </row>
    <row r="60" spans="1:2" ht="11.25" customHeight="1">
      <c r="A60" s="67" t="s">
        <v>6472</v>
      </c>
      <c s="67" t="s">
        <v>6473</v>
      </c>
    </row>
    <row r="61" spans="1:2" ht="11.25" customHeight="1">
      <c r="A61" s="67"/>
      <c s="67" t="s">
        <v>6474</v>
      </c>
    </row>
    <row r="62" spans="1:2" ht="11.25" customHeight="1">
      <c r="A62" s="67"/>
      <c s="67" t="s">
        <v>6475</v>
      </c>
    </row>
    <row r="63" spans="1:2" ht="11.25" customHeight="1">
      <c r="A63" s="67"/>
      <c s="67" t="s">
        <v>6476</v>
      </c>
    </row>
    <row r="64" spans="1:2" ht="11.25" customHeight="1">
      <c r="A64" s="67"/>
      <c s="67" t="s">
        <v>6477</v>
      </c>
    </row>
    <row r="65" spans="1:2" ht="11.25" customHeight="1">
      <c r="A65" s="67"/>
      <c s="67" t="s">
        <v>6478</v>
      </c>
    </row>
    <row r="66" spans="1:2" ht="11.25" customHeight="1">
      <c r="A66" s="67"/>
      <c s="67" t="s">
        <v>6479</v>
      </c>
    </row>
    <row r="67" spans="1:2" ht="11.25" customHeight="1">
      <c r="A67" s="67"/>
      <c s="67" t="s">
        <v>6480</v>
      </c>
    </row>
    <row r="68" spans="1:2" ht="11.25" customHeight="1">
      <c r="A68" s="67"/>
      <c s="67" t="s">
        <v>6481</v>
      </c>
    </row>
    <row r="69" spans="1:2" ht="11.25" customHeight="1">
      <c r="A69" s="67"/>
      <c s="67" t="s">
        <v>6482</v>
      </c>
    </row>
    <row r="70" spans="1:2" ht="11.25" customHeight="1">
      <c r="A70" s="67"/>
      <c s="67" t="s">
        <v>6483</v>
      </c>
    </row>
    <row r="71" spans="1:2" ht="11.25" customHeight="1">
      <c r="A71" s="67"/>
      <c s="67"/>
    </row>
    <row r="72" spans="1:2" ht="11.25" customHeight="1">
      <c r="A72" s="67"/>
      <c s="67"/>
    </row>
    <row r="73" spans="1:2" ht="11.25" customHeight="1">
      <c r="A73" s="67"/>
      <c s="67"/>
    </row>
    <row r="74" spans="1:2" ht="11.25" customHeight="1">
      <c r="A74" s="67"/>
      <c s="67"/>
    </row>
    <row r="75" spans="1:2" ht="11.25" customHeight="1">
      <c r="A75" s="67"/>
      <c s="67"/>
    </row>
    <row r="76" spans="1:2" ht="11.25" customHeight="1">
      <c r="A76" s="67"/>
      <c s="67"/>
    </row>
    <row r="77" spans="1:2" ht="11.25" customHeight="1">
      <c r="A77" s="67"/>
      <c s="67"/>
    </row>
    <row r="78" spans="1:2" ht="11.25" customHeight="1">
      <c r="A78" s="67"/>
      <c s="67"/>
    </row>
    <row r="79" spans="1:2" ht="11.25" customHeight="1">
      <c r="A79" s="67"/>
      <c s="67"/>
    </row>
    <row r="80" spans="1:2" ht="11.25" customHeight="1">
      <c r="A80" s="67"/>
      <c s="67"/>
    </row>
    <row r="81" spans="1:2" ht="11.25" customHeight="1">
      <c r="A81" s="67"/>
      <c s="67"/>
    </row>
    <row r="82" spans="1:2" ht="11.25" customHeight="1">
      <c r="A82" s="67"/>
      <c s="67"/>
    </row>
    <row r="83" spans="1:2" ht="11.25" customHeight="1">
      <c r="A83" s="67"/>
      <c s="67"/>
    </row>
    <row r="84" spans="1:2" ht="11.25" customHeight="1">
      <c r="A84" s="67"/>
      <c s="67"/>
    </row>
    <row r="85" spans="1:2" ht="11.25" customHeight="1">
      <c r="A85" s="67"/>
      <c s="67"/>
    </row>
    <row r="86" spans="1:2" ht="11.25" customHeight="1">
      <c r="A86" s="67"/>
      <c s="67"/>
    </row>
    <row r="87" spans="1:2" ht="11.25" customHeight="1">
      <c r="A87" s="67"/>
      <c s="67"/>
    </row>
    <row r="88" spans="1:2" ht="11.25" customHeight="1">
      <c r="A88" s="67"/>
      <c s="67"/>
    </row>
    <row r="89" spans="1:2" ht="11.25" customHeight="1">
      <c r="A89" s="67"/>
      <c s="67"/>
    </row>
    <row r="90" spans="1:2" ht="11.25" customHeight="1">
      <c r="A90" s="67"/>
      <c s="67"/>
    </row>
    <row r="91" spans="1:2" ht="11.25" customHeight="1">
      <c r="A91" s="67"/>
      <c s="67"/>
    </row>
    <row r="92" spans="1:2" ht="11.25" customHeight="1">
      <c r="A92" s="67"/>
      <c s="67"/>
    </row>
    <row r="93" spans="1:2" ht="11.25" customHeight="1">
      <c r="A93" s="67"/>
      <c s="67"/>
    </row>
    <row r="94" spans="1:2" ht="11.25" customHeight="1">
      <c r="A94" s="67"/>
      <c s="67"/>
    </row>
    <row r="95" spans="1:2" ht="11.25" customHeight="1">
      <c r="A95" s="67"/>
      <c s="67"/>
    </row>
    <row r="96" spans="1:2" ht="11.25" customHeight="1">
      <c r="A96" s="67"/>
      <c s="67"/>
    </row>
    <row r="97" spans="1:2" ht="11.25" customHeight="1">
      <c r="A97" s="67"/>
      <c s="67"/>
    </row>
    <row r="98" spans="1:2" ht="11.25" customHeight="1">
      <c r="A98" s="67"/>
      <c s="67"/>
    </row>
    <row r="99" spans="1:2" ht="11.25" customHeight="1">
      <c r="A99" s="67"/>
      <c s="67"/>
    </row>
    <row r="100" spans="1:2" ht="11.25" customHeight="1">
      <c r="A100" s="67"/>
      <c s="67"/>
    </row>
    <row r="101" spans="1:2" ht="11.25" customHeight="1">
      <c r="A101" s="67"/>
      <c s="67"/>
    </row>
    <row r="102" spans="1:2" ht="11.25" customHeight="1">
      <c r="A102" s="67"/>
      <c s="67"/>
    </row>
    <row r="103" spans="1:2" ht="11.25" customHeight="1">
      <c r="A103" s="67"/>
      <c s="67"/>
    </row>
    <row r="104" spans="1:2" ht="11.25" customHeight="1">
      <c r="A104" s="67"/>
      <c s="67"/>
    </row>
    <row r="105" spans="1:2" ht="11.25" customHeight="1">
      <c r="A105" s="67"/>
      <c s="67"/>
    </row>
    <row r="106" spans="1:2" ht="11.25" customHeight="1">
      <c r="A106" s="67"/>
      <c s="67"/>
    </row>
    <row r="107" spans="1:2" ht="11.25" customHeight="1">
      <c r="A107" s="67"/>
      <c s="67"/>
    </row>
    <row r="108" spans="1:2" ht="11.25" customHeight="1">
      <c r="A108" s="67"/>
      <c s="67"/>
    </row>
    <row r="109" spans="1:2" ht="11.25" customHeight="1">
      <c r="A109" s="67"/>
      <c s="67"/>
    </row>
    <row r="110" spans="1:2" ht="11.25" customHeight="1">
      <c r="A110" s="67"/>
      <c s="67"/>
    </row>
    <row r="111" spans="1:2" ht="11.25" customHeight="1">
      <c r="A111" s="67"/>
      <c s="67"/>
    </row>
    <row r="112" spans="1:2" ht="11.25" customHeight="1">
      <c r="A112" s="67"/>
      <c s="67"/>
    </row>
    <row r="113" spans="1:2" ht="11.25" customHeight="1">
      <c r="A113" s="67"/>
      <c s="67"/>
    </row>
    <row r="114" spans="1:2" ht="11.25" customHeight="1">
      <c r="A114" s="67"/>
      <c s="67"/>
    </row>
    <row r="115" spans="1:2" ht="11.25" customHeight="1">
      <c r="A115" s="67"/>
      <c s="67"/>
    </row>
    <row r="116" spans="1:2" ht="11.25" customHeight="1">
      <c r="A116" s="67"/>
      <c s="67"/>
    </row>
    <row r="117" spans="1:2" ht="11.25" customHeight="1">
      <c r="A117" s="67"/>
      <c s="67"/>
    </row>
    <row r="118" spans="1:2" ht="11.25" customHeight="1">
      <c r="A118" s="67"/>
      <c s="67"/>
    </row>
    <row r="119" spans="1:2" ht="11.25" customHeight="1">
      <c r="A119" s="67"/>
      <c s="67"/>
    </row>
    <row r="120" spans="1:2" ht="11.25" customHeight="1">
      <c r="A120" s="67"/>
      <c s="67"/>
    </row>
    <row r="121" spans="1:2" ht="11.25" customHeight="1">
      <c r="A121" s="67"/>
      <c s="67"/>
    </row>
    <row r="122" spans="1:2" ht="11.25" customHeight="1">
      <c r="A122" s="67"/>
      <c s="67"/>
    </row>
    <row r="123" spans="1:2" ht="11.25" customHeight="1">
      <c r="A123" s="67"/>
      <c s="67"/>
    </row>
    <row r="124" spans="1:2" ht="11.25" customHeight="1">
      <c r="A124" s="67"/>
      <c s="67"/>
    </row>
    <row r="125" spans="1:2" ht="11.25" customHeight="1">
      <c r="A125" s="67"/>
      <c s="67"/>
    </row>
    <row r="126" spans="1:2" ht="11.25" customHeight="1">
      <c r="A126" s="67"/>
      <c s="67"/>
    </row>
    <row r="127" spans="1:2" ht="11.25" customHeight="1">
      <c r="A127" s="67"/>
      <c s="67"/>
    </row>
    <row r="128" spans="1:2" ht="11.25" customHeight="1">
      <c r="A128" s="67"/>
      <c s="67"/>
    </row>
    <row r="129" spans="1:2" ht="11.25" customHeight="1">
      <c r="A129" s="67"/>
      <c s="67"/>
    </row>
    <row r="130" spans="1:2" ht="11.25" customHeight="1">
      <c r="A130" s="67"/>
      <c s="67"/>
    </row>
    <row r="131" spans="1:2" ht="11.25" customHeight="1">
      <c r="A131" s="67"/>
      <c s="67"/>
    </row>
    <row r="132" spans="1:2" ht="11.25" customHeight="1">
      <c r="A132" s="67"/>
      <c s="67"/>
    </row>
    <row r="133" spans="1:2" ht="11.25" customHeight="1">
      <c r="A133" s="67"/>
      <c s="67"/>
    </row>
    <row r="134" spans="1:2" ht="11.25" customHeight="1">
      <c r="A134" s="67"/>
      <c s="67"/>
    </row>
    <row r="135" spans="1:2" ht="11.25" customHeight="1">
      <c r="A135" s="67"/>
      <c s="67"/>
    </row>
    <row r="136" spans="1:2" ht="11.25" customHeight="1">
      <c r="A136" s="67"/>
      <c s="67"/>
    </row>
    <row r="137" spans="1:2" ht="11.25" customHeight="1">
      <c r="A137" s="67"/>
      <c s="67"/>
    </row>
    <row r="138" spans="1:2" ht="11.25" customHeight="1">
      <c r="A138" s="67"/>
      <c s="67"/>
    </row>
    <row r="139" spans="1:2" ht="11.25" customHeight="1">
      <c r="A139" s="67"/>
      <c s="67"/>
    </row>
    <row r="140" spans="1:2" ht="11.25" customHeight="1">
      <c r="A140" s="67"/>
      <c s="67"/>
    </row>
    <row r="141" spans="1:2" ht="11.25" customHeight="1">
      <c r="A141" s="67"/>
      <c s="67"/>
    </row>
    <row r="142" spans="1:2" ht="11.25" customHeight="1">
      <c r="A142" s="67"/>
      <c s="67"/>
    </row>
    <row r="143" spans="1:2" ht="11.25" customHeight="1">
      <c r="A143" s="67"/>
      <c s="67"/>
    </row>
    <row r="144" spans="1:2" ht="11.25" customHeight="1">
      <c r="A144" s="67"/>
      <c s="67"/>
    </row>
    <row r="145" spans="1:2" ht="11.25" customHeight="1">
      <c r="A145" s="67"/>
      <c s="67"/>
    </row>
    <row r="146" spans="1:2" ht="11.25" customHeight="1">
      <c r="A146" s="67"/>
      <c s="67"/>
    </row>
    <row r="147" spans="1:2" ht="11.25" customHeight="1">
      <c r="A147" s="67"/>
      <c s="67"/>
    </row>
    <row r="148" spans="1:2" ht="11.25" customHeight="1">
      <c r="A148" s="67"/>
      <c s="67"/>
    </row>
    <row r="149" spans="1:2" ht="11.25" customHeight="1">
      <c r="A149" s="67"/>
      <c s="67"/>
    </row>
    <row r="150" spans="1:2" ht="11.25" customHeight="1">
      <c r="A150" s="67"/>
      <c s="67"/>
    </row>
    <row r="151" spans="1:2" ht="11.25" customHeight="1">
      <c r="A151" s="67"/>
      <c s="67"/>
    </row>
    <row r="152" spans="1:2" ht="11.25" customHeight="1">
      <c r="A152" s="67"/>
      <c s="67"/>
    </row>
    <row r="153" spans="1:2" ht="11.25" customHeight="1">
      <c r="A153" s="67"/>
      <c s="67"/>
    </row>
    <row r="154" spans="1:2" ht="11.25" customHeight="1">
      <c r="A154" s="67"/>
      <c s="67"/>
    </row>
    <row r="155" spans="1:2" ht="11.25" customHeight="1">
      <c r="A155" s="67"/>
      <c s="67"/>
    </row>
    <row r="156" spans="1:2" ht="11.25" customHeight="1">
      <c r="A156" s="67"/>
      <c s="67"/>
    </row>
    <row r="157" spans="1:2" ht="11.25" customHeight="1">
      <c r="A157" s="67"/>
      <c s="67"/>
    </row>
    <row r="158" spans="1:2" ht="11.25" customHeight="1">
      <c r="A158" s="67"/>
      <c s="67"/>
    </row>
    <row r="159" spans="1:2" ht="11.25" customHeight="1">
      <c r="A159" s="67"/>
      <c s="67"/>
    </row>
    <row r="160" spans="1:2" ht="11.25" customHeight="1">
      <c r="A160" s="67"/>
      <c s="67"/>
    </row>
    <row r="161" spans="1:2" ht="11.25" customHeight="1">
      <c r="A161" s="67"/>
      <c s="67"/>
    </row>
    <row r="162" spans="1:2" ht="11.25" customHeight="1">
      <c r="A162" s="67"/>
      <c s="67"/>
    </row>
    <row r="163" spans="1:2" ht="11.25" customHeight="1">
      <c r="A163" s="67"/>
      <c s="67"/>
    </row>
    <row r="164" spans="1:2" ht="11.25" customHeight="1">
      <c r="A164" s="67"/>
      <c s="67"/>
    </row>
    <row r="165" spans="1:2" ht="11.25" customHeight="1">
      <c r="A165" s="67"/>
      <c s="67"/>
    </row>
    <row r="166" spans="1:2" ht="11.25" customHeight="1">
      <c r="A166" s="67"/>
      <c s="67"/>
    </row>
    <row r="167" spans="1:2" ht="11.25" customHeight="1">
      <c r="A167" s="67"/>
      <c s="67"/>
    </row>
    <row r="168" spans="1:2" ht="11.25" customHeight="1">
      <c r="A168" s="67"/>
      <c s="67"/>
    </row>
    <row r="169" spans="1:2" ht="11.25" customHeight="1">
      <c r="A169" s="67"/>
      <c s="67"/>
    </row>
    <row r="170" spans="1:2" ht="11.25" customHeight="1">
      <c r="A170" s="67"/>
      <c s="67"/>
    </row>
    <row r="171" spans="1:2" ht="11.25" customHeight="1">
      <c r="A171" s="67"/>
      <c s="67"/>
    </row>
    <row r="172" spans="1:2" ht="11.25" customHeight="1">
      <c r="A172" s="67"/>
      <c s="67"/>
    </row>
    <row r="173" spans="1:2" ht="11.25" customHeight="1">
      <c r="A173" s="67"/>
      <c s="67"/>
    </row>
    <row r="174" spans="1:2" ht="11.25" customHeight="1">
      <c r="A174" s="67"/>
      <c s="67"/>
    </row>
    <row r="175" spans="1:2" ht="11.25" customHeight="1">
      <c r="A175" s="67"/>
      <c s="67"/>
    </row>
    <row r="176" spans="1:2" ht="11.25" customHeight="1">
      <c r="A176" s="67"/>
      <c s="67"/>
    </row>
    <row r="177" spans="1:2" ht="11.25" customHeight="1">
      <c r="A177" s="67"/>
      <c s="67"/>
    </row>
    <row r="178" spans="1:2" ht="11.25" customHeight="1">
      <c r="A178" s="67"/>
      <c s="67"/>
    </row>
    <row r="179" spans="1:2" ht="11.25" customHeight="1">
      <c r="A179" s="67"/>
      <c s="67"/>
    </row>
    <row r="180" spans="1:2" ht="11.25" customHeight="1">
      <c r="A180" s="67"/>
      <c s="67"/>
    </row>
    <row r="181" spans="1:2" ht="11.25" customHeight="1">
      <c r="A181" s="67"/>
      <c s="67"/>
    </row>
    <row r="182" spans="1:2" ht="11.25" customHeight="1">
      <c r="A182" s="67"/>
      <c s="67"/>
    </row>
    <row r="183" spans="1:2" ht="11.25" customHeight="1">
      <c r="A183" s="67"/>
      <c s="67"/>
    </row>
    <row r="184" spans="1:2" ht="11.25" customHeight="1">
      <c r="A184" s="67"/>
      <c s="67"/>
    </row>
    <row r="185" spans="1:2" ht="11.25" customHeight="1">
      <c r="A185" s="67"/>
      <c s="67"/>
    </row>
    <row r="186" spans="1:2" ht="11.25" customHeight="1">
      <c r="A186" s="67"/>
      <c s="67"/>
    </row>
    <row r="187" spans="1:2" ht="11.25" customHeight="1">
      <c r="A187" s="67"/>
      <c s="67"/>
    </row>
    <row r="188" spans="1:2" ht="11.25" customHeight="1">
      <c r="A188" s="67"/>
      <c s="67"/>
    </row>
    <row r="189" spans="1:2" ht="11.25" customHeight="1">
      <c r="A189" s="67"/>
      <c s="67"/>
    </row>
    <row r="190" spans="1:2" ht="11.25" customHeight="1">
      <c r="A190" s="67"/>
      <c s="67"/>
    </row>
    <row r="191" spans="1:2" ht="11.25" customHeight="1">
      <c r="A191" s="67"/>
      <c s="67"/>
    </row>
    <row r="192" spans="1:2" ht="11.25" customHeight="1">
      <c r="A192" s="67"/>
      <c s="67"/>
    </row>
    <row r="193" spans="1:2" ht="11.25" customHeight="1">
      <c r="A193" s="67"/>
      <c s="67"/>
    </row>
    <row r="194" spans="1:2" ht="11.25" customHeight="1">
      <c r="A194" s="67"/>
      <c s="67"/>
    </row>
    <row r="195" spans="1:2" ht="11.25" customHeight="1">
      <c r="A195" s="67"/>
      <c s="67"/>
    </row>
    <row r="196" spans="1:2" ht="11.25" customHeight="1">
      <c r="A196" s="67"/>
      <c s="67"/>
    </row>
    <row r="197" spans="1:2" ht="11.25" customHeight="1">
      <c r="A197" s="67"/>
      <c s="67"/>
    </row>
    <row r="198" spans="1:2" ht="11.25" customHeight="1">
      <c r="A198" s="67"/>
      <c s="67"/>
    </row>
    <row r="199" spans="1:2" ht="11.25" customHeight="1">
      <c r="A199" s="67"/>
      <c s="67"/>
    </row>
    <row r="200" spans="1:2" ht="11.25" customHeight="1">
      <c r="A200" s="67"/>
      <c s="67"/>
    </row>
    <row r="201" spans="1:2" ht="11.25" customHeight="1">
      <c r="A201" s="67"/>
      <c s="67"/>
    </row>
    <row r="202" spans="1:2" ht="11.25" customHeight="1">
      <c r="A202" s="67"/>
      <c s="67"/>
    </row>
    <row r="203" spans="1:2" ht="11.25" customHeight="1">
      <c r="A203" s="67"/>
      <c s="67"/>
    </row>
    <row r="204" spans="1:2" ht="11.25" customHeight="1">
      <c r="A204" s="67"/>
      <c s="67"/>
    </row>
    <row r="205" spans="1:2" ht="11.25" customHeight="1">
      <c r="A205" s="67"/>
      <c s="67"/>
    </row>
    <row r="206" spans="1:2" ht="11.25" customHeight="1">
      <c r="A206" s="67"/>
      <c s="67"/>
    </row>
    <row r="207" spans="1:2" ht="11.25" customHeight="1">
      <c r="A207" s="67"/>
      <c s="67"/>
    </row>
    <row r="208" spans="1:2" ht="11.25" customHeight="1">
      <c r="A208" s="67"/>
      <c s="67"/>
    </row>
    <row r="209" spans="1:2" ht="11.25" customHeight="1">
      <c r="A209" s="67"/>
      <c s="67"/>
    </row>
    <row r="210" spans="1:2" ht="11.25" customHeight="1">
      <c r="A210" s="67"/>
      <c s="67"/>
    </row>
    <row r="211" spans="1:2" ht="11.25" customHeight="1">
      <c r="A211" s="67"/>
      <c s="67"/>
    </row>
    <row r="212" spans="1:2" ht="11.25" customHeight="1">
      <c r="A212" s="67"/>
      <c s="67"/>
    </row>
    <row r="213" spans="1:2" ht="11.25" customHeight="1">
      <c r="A213" s="67"/>
      <c s="67"/>
    </row>
    <row r="214" spans="1:2" ht="11.25" customHeight="1">
      <c r="A214" s="67"/>
      <c s="67"/>
    </row>
    <row r="215" spans="1:2" ht="11.25" customHeight="1">
      <c r="A215" s="67"/>
      <c s="67"/>
    </row>
    <row r="216" spans="1:2" ht="11.25" customHeight="1">
      <c r="A216" s="67"/>
      <c s="67"/>
    </row>
    <row r="217" spans="1:2" ht="11.25" customHeight="1">
      <c r="A217" s="67"/>
      <c s="67"/>
    </row>
    <row r="218" spans="1:2" ht="11.25" customHeight="1">
      <c r="A218" s="67"/>
      <c s="67"/>
    </row>
    <row r="219" spans="1:2" ht="11.25" customHeight="1">
      <c r="A219" s="67"/>
      <c s="67"/>
    </row>
    <row r="220" spans="1:2" ht="11.25" customHeight="1">
      <c r="A220" s="67"/>
      <c s="67"/>
    </row>
    <row r="221" spans="1:2" ht="11.25" customHeight="1">
      <c r="A221" s="67"/>
      <c s="67"/>
    </row>
    <row r="222" spans="1:2" ht="11.25" customHeight="1">
      <c r="A222" s="67"/>
      <c s="67"/>
    </row>
    <row r="223" spans="1:2" ht="11.25" customHeight="1">
      <c r="A223" s="67"/>
      <c s="67"/>
    </row>
    <row r="224" spans="1:2" ht="11.25" customHeight="1">
      <c r="A224" s="67"/>
      <c s="67"/>
    </row>
    <row r="225" spans="1:2" ht="11.25" customHeight="1">
      <c r="A225" s="67"/>
      <c s="67"/>
    </row>
    <row r="226" spans="1:2" ht="11.25" customHeight="1">
      <c r="A226" s="67"/>
      <c s="67"/>
    </row>
    <row r="227" spans="1:2" ht="11.25" customHeight="1">
      <c r="A227" s="67"/>
      <c s="67"/>
    </row>
    <row r="228" spans="1:2" ht="11.25" customHeight="1">
      <c r="A228" s="67"/>
      <c s="67"/>
    </row>
    <row r="229" spans="1:2" ht="11.25" customHeight="1">
      <c r="A229" s="67"/>
      <c s="67"/>
    </row>
    <row r="230" spans="1:2" ht="11.25" customHeight="1">
      <c r="A230" s="67"/>
      <c s="67"/>
    </row>
    <row r="231" spans="1:2" ht="11.25" customHeight="1">
      <c r="A231" s="67"/>
      <c s="67"/>
    </row>
    <row r="232" spans="1:2" ht="11.25" customHeight="1">
      <c r="A232" s="67"/>
      <c s="67"/>
    </row>
    <row r="233" spans="1:2" ht="11.25" customHeight="1">
      <c r="A233" s="67"/>
      <c s="67"/>
    </row>
    <row r="234" spans="1:2" ht="11.25" customHeight="1">
      <c r="A234" s="67"/>
      <c s="67"/>
    </row>
    <row r="235" spans="1:2" ht="11.25" customHeight="1">
      <c r="A235" s="67"/>
      <c s="67"/>
    </row>
    <row r="236" spans="1:2" ht="11.25" customHeight="1">
      <c r="A236" s="67"/>
      <c s="67"/>
    </row>
    <row r="237" spans="1:2" ht="11.25" customHeight="1">
      <c r="A237" s="67"/>
      <c s="67"/>
    </row>
    <row r="238" spans="1:2" ht="11.25" customHeight="1">
      <c r="A238" s="67"/>
      <c s="67"/>
    </row>
    <row r="239" spans="1:2" ht="11.25" customHeight="1">
      <c r="A239" s="67"/>
      <c s="67"/>
    </row>
    <row r="240" spans="1:2" ht="11.25" customHeight="1">
      <c r="A240" s="67"/>
      <c s="67"/>
    </row>
    <row r="241" spans="1:2" ht="11.25" customHeight="1">
      <c r="A241" s="67"/>
      <c s="67"/>
    </row>
    <row r="242" spans="1:2" ht="11.25" customHeight="1">
      <c r="A242" s="67"/>
      <c s="67"/>
    </row>
    <row r="243" spans="1:2" ht="11.25" customHeight="1">
      <c r="A243" s="67"/>
      <c s="67"/>
    </row>
    <row r="244" spans="1:2" ht="11.25" customHeight="1">
      <c r="A244" s="67"/>
      <c s="67"/>
    </row>
    <row r="245" spans="1:2" ht="11.25" customHeight="1">
      <c r="A245" s="67"/>
      <c s="67"/>
    </row>
    <row r="246" spans="1:2" ht="11.25" customHeight="1">
      <c r="A246" s="67"/>
      <c s="67"/>
    </row>
    <row r="247" spans="1:2" ht="11.25" customHeight="1">
      <c r="A247" s="67"/>
      <c s="67"/>
    </row>
    <row r="248" spans="1:2" ht="11.25" customHeight="1">
      <c r="A248" s="67"/>
      <c s="67"/>
    </row>
    <row r="249" spans="1:2" ht="11.25" customHeight="1">
      <c r="A249" s="67"/>
      <c s="67"/>
    </row>
    <row r="250" spans="1:2" ht="11.25" customHeight="1">
      <c r="A250" s="67"/>
      <c s="67"/>
    </row>
    <row r="251" spans="1:2" ht="11.25" customHeight="1">
      <c r="A251" s="67"/>
      <c s="67"/>
    </row>
    <row r="252" spans="1:2" ht="11.25" customHeight="1">
      <c r="A252" s="67"/>
      <c s="67"/>
    </row>
    <row r="253" spans="1:2" ht="11.25" customHeight="1">
      <c r="A253" s="67"/>
      <c s="67"/>
    </row>
  </sheetData>
  <sheetProtection formatColumns="0" formatRows="0" insertRows="0" deleteColumns="0" deleteRows="0" sort="0" autoFilter="0"/>
  <pageMargins left="0.75" right="0.75" top="1" bottom="1" header="0.5" footer="0.5"/>
  <pageSetup orientation="portrait" paperSize="9"/>
</worksheet>
</file>

<file path=xl/worksheets/sheet8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m="http://schemas.microsoft.com/office/excel/2006/main" xmlns:x14ac="http://schemas.microsoft.com/office/spreadsheetml/2009/9/ac" xmlns:xr="http://schemas.microsoft.com/office/spreadsheetml/2014/revision" xmlns:xr2="http://schemas.microsoft.com/office/spreadsheetml/2015/revision2" xmlns:xr3="http://schemas.microsoft.com/office/spreadsheetml/2016/revision3" xr:uid="{4257E158-7A5F-1F59-C098-D9E83896D392}" mc:Ignorable="x14ac xr xr2 xr3">
  <sheetPr>
    <tabColor rgb="FFFFCC99"/>
  </sheetPr>
  <dimension ref="A1:D36"/>
  <sheetViews>
    <sheetView showGridLines="0" workbookViewId="0" topLeftCell="A1">
      <selection pane="topLeft" activeCell="A1" sqref="A1"/>
    </sheetView>
  </sheetViews>
  <sheetFormatPr defaultColWidth="9.14428571428571" defaultRowHeight="11.25" customHeight="1"/>
  <cols>
    <col min="1" max="1" width="3.71428571428571" style="1853" customWidth="1"/>
    <col min="2" max="2" width="90.7142857142857" style="1853" customWidth="1"/>
    <col min="3" max="4" width="9.14285714285714" style="1853"/>
  </cols>
  <sheetData>
    <row r="1" spans="2:2" ht="11.25" customHeight="1">
      <c r="B1" s="96" t="s">
        <v>6484</v>
      </c>
    </row>
    <row r="2" spans="2:2" ht="90" customHeight="1">
      <c r="B2" s="97" t="s">
        <v>6485</v>
      </c>
    </row>
    <row r="3" spans="2:2" ht="67.5" customHeight="1">
      <c r="B3" s="97" t="s">
        <v>6486</v>
      </c>
    </row>
    <row r="4" spans="2:2" ht="33.75" customHeight="1">
      <c r="B4" s="97" t="s">
        <v>6487</v>
      </c>
    </row>
    <row r="5" spans="2:2" ht="11.25" customHeight="1">
      <c r="B5" s="97" t="s">
        <v>6488</v>
      </c>
    </row>
    <row r="6" spans="2:2" ht="22.5" customHeight="1">
      <c r="B6" s="97" t="s">
        <v>6489</v>
      </c>
    </row>
    <row r="7" spans="2:2" ht="22.5" customHeight="1">
      <c r="B7" s="97" t="s">
        <v>6490</v>
      </c>
    </row>
    <row r="8" spans="2:2" ht="22.5" customHeight="1">
      <c r="B8" s="97" t="s">
        <v>6491</v>
      </c>
    </row>
    <row r="9" spans="2:2" ht="22.5" customHeight="1">
      <c r="B9" s="97" t="s">
        <v>6492</v>
      </c>
    </row>
    <row r="10" spans="2:2" ht="56.25" customHeight="1">
      <c r="B10" s="97" t="s">
        <v>6493</v>
      </c>
    </row>
    <row r="11" spans="2:2" ht="12.75" customHeight="1">
      <c r="B11" s="162" t="s">
        <v>6494</v>
      </c>
    </row>
    <row r="12" spans="2:2" ht="11.25" customHeight="1">
      <c r="B12" s="96" t="s">
        <v>6495</v>
      </c>
    </row>
    <row r="13" spans="2:2" ht="22.5" customHeight="1">
      <c r="B13" s="97" t="s">
        <v>6496</v>
      </c>
    </row>
    <row r="14" spans="2:2" ht="67.5" customHeight="1">
      <c r="B14" s="97" t="s">
        <v>6497</v>
      </c>
    </row>
    <row r="15" spans="2:2" ht="22.5" customHeight="1">
      <c r="B15" s="97" t="s">
        <v>6498</v>
      </c>
    </row>
    <row r="16" spans="2:4" ht="11.25" customHeight="1">
      <c r="B16" s="96" t="s">
        <v>6499</v>
      </c>
      <c r="D16" s="103"/>
    </row>
    <row r="17" spans="2:2" ht="33.75" customHeight="1">
      <c r="B17" s="97" t="s">
        <v>6500</v>
      </c>
    </row>
    <row r="18" spans="2:2" ht="33.75" customHeight="1">
      <c r="B18" s="97" t="s">
        <v>6501</v>
      </c>
    </row>
    <row r="19" spans="2:2" ht="11.25" customHeight="1">
      <c r="B19" s="97" t="s">
        <v>6502</v>
      </c>
    </row>
    <row r="20" spans="2:2" ht="33.75" customHeight="1">
      <c r="B20" s="97" t="s">
        <v>6503</v>
      </c>
    </row>
    <row r="21" spans="2:2" ht="11.25" customHeight="1">
      <c r="B21" s="96" t="s">
        <v>6504</v>
      </c>
    </row>
    <row r="22" spans="2:2" ht="11.25" customHeight="1">
      <c r="B22" s="97" t="s">
        <v>6505</v>
      </c>
    </row>
    <row r="24" spans="2:2" ht="22.5" customHeight="1">
      <c r="B24" s="164" t="s">
        <v>6506</v>
      </c>
    </row>
    <row r="26" spans="2:2" ht="11.25" customHeight="1">
      <c r="B26" s="96" t="s">
        <v>6507</v>
      </c>
    </row>
    <row r="27" spans="2:2" ht="22.5" customHeight="1">
      <c r="B27" s="163" t="s">
        <v>396</v>
      </c>
    </row>
    <row r="28" spans="2:2" ht="56.25" customHeight="1">
      <c r="B28" s="163" t="s">
        <v>6508</v>
      </c>
    </row>
    <row r="29" spans="2:2" ht="11.25" customHeight="1">
      <c r="B29" s="213" t="s">
        <v>6509</v>
      </c>
    </row>
    <row r="30" spans="2:2" ht="22.5" customHeight="1">
      <c r="B30" s="163" t="s">
        <v>6510</v>
      </c>
    </row>
    <row r="32" spans="1:2" ht="11.25" customHeight="1">
      <c r="A32" s="191"/>
      <c s="192" t="s">
        <v>6511</v>
      </c>
    </row>
    <row r="33" spans="1:2" ht="14.25" customHeight="1">
      <c r="A33" s="193">
        <v>1</v>
      </c>
      <c s="194" t="s">
        <v>6512</v>
      </c>
    </row>
    <row r="34" spans="1:2" ht="14.25" customHeight="1">
      <c r="A34" s="193">
        <v>2</v>
      </c>
      <c s="194" t="s">
        <v>6513</v>
      </c>
    </row>
    <row r="35" spans="2:2" ht="11.25" customHeight="1">
      <c r="B35" s="192" t="s">
        <v>6514</v>
      </c>
    </row>
    <row r="36" spans="2:2" ht="11.25" customHeight="1">
      <c r="B36" s="194" t="s">
        <v>6515</v>
      </c>
    </row>
  </sheetData>
  <sheetProtection insertRows="0" deleteColumns="0" deleteRows="0" sort="0" autoFilter="0"/>
  <pageMargins left="0.75" right="0.75" top="1" bottom="1" header="0.5" footer="0.5"/>
  <pageSetup orientation="portrait" paperSize="9"/>
</worksheet>
</file>

<file path=docProps/app.xml><?xml version="1.0" encoding="utf-8"?>
<Properties xmlns="http://schemas.openxmlformats.org/officeDocument/2006/extended-properties" xmlns:vt="http://schemas.openxmlformats.org/officeDocument/2006/docPropsVTypes">
  <Application>Microsoft Excel</Application>
  <AppVersion>16.0300</AppVersion>
  <DocSecurity>0</DocSecurity>
  <ScaleCrop>false</ScaleCrop>
  <HeadingPairs>
    <vt:vector size="2" baseType="variant">
      <vt:variant>
        <vt:lpstr>Worksheets</vt:lpstr>
      </vt:variant>
      <vt:variant>
        <vt:i4>89</vt:i4>
      </vt:variant>
    </vt:vector>
  </HeadingPairs>
  <TitlesOfParts>
    <vt:vector size="89" baseType="lpstr">
      <vt:lpstr>Инструкция</vt:lpstr>
      <vt:lpstr>Титульный</vt:lpstr>
      <vt:lpstr>Список территорий</vt:lpstr>
      <vt:lpstr>Дифференциация</vt:lpstr>
      <vt:lpstr>Перечень тарифов</vt:lpstr>
      <vt:lpstr>Дифференциация тариф показатель</vt:lpstr>
      <vt:lpstr>Общая информация об организации</vt:lpstr>
      <vt:lpstr>Общая информация по ВД</vt:lpstr>
      <vt:lpstr>Виды объектов</vt:lpstr>
      <vt:lpstr>Сведения по территориям</vt:lpstr>
      <vt:lpstr>ТС. Т-ТЭ | &gt;=25МВт</vt:lpstr>
      <vt:lpstr>ТС. Т-ТЭ | ТСО</vt:lpstr>
      <vt:lpstr>ТС. Т-ТЭ | предел</vt:lpstr>
      <vt:lpstr>ТС. Т-ТЭ | индикат</vt:lpstr>
      <vt:lpstr>ТС. Резерв мощности</vt:lpstr>
      <vt:lpstr>ТС. Т-ТН</vt:lpstr>
      <vt:lpstr>ТС. Т-передача ТЭ</vt:lpstr>
      <vt:lpstr>ТС. Т-передача ТН</vt:lpstr>
      <vt:lpstr>ТС. Т-гор.вода</vt:lpstr>
      <vt:lpstr>ТС. Т-подкл</vt:lpstr>
      <vt:lpstr>ХВС. Т-пит</vt:lpstr>
      <vt:lpstr>ХВС. Т-тех</vt:lpstr>
      <vt:lpstr>ХВС. Т-транс</vt:lpstr>
      <vt:lpstr>ХВС. Т-подвоз</vt:lpstr>
      <vt:lpstr>ТС. Т-подкл(инд)</vt:lpstr>
      <vt:lpstr>ХВС. Т-подкл</vt:lpstr>
      <vt:lpstr>ВО. Т-во</vt:lpstr>
      <vt:lpstr>ВО. Т-транс</vt:lpstr>
      <vt:lpstr>ВО. Т-подкл</vt:lpstr>
      <vt:lpstr>ГВС. Т-гор.вода</vt:lpstr>
      <vt:lpstr>ГВС. Т-транс</vt:lpstr>
      <vt:lpstr>ГВС. Т-подкл</vt:lpstr>
      <vt:lpstr>Показатели ФХД</vt:lpstr>
      <vt:lpstr>Показатели ФХД &gt;20%</vt:lpstr>
      <vt:lpstr>Показатели ОТЭП</vt:lpstr>
      <vt:lpstr>Стандарты качества</vt:lpstr>
      <vt:lpstr>ТКО. Показатели ФХД</vt:lpstr>
      <vt:lpstr>ТКО. Транс. Показатели ФХД</vt:lpstr>
      <vt:lpstr>Показатели КНЭ</vt:lpstr>
      <vt:lpstr>Ограничения</vt:lpstr>
      <vt:lpstr>ИП</vt:lpstr>
      <vt:lpstr>ИП. Детализация</vt:lpstr>
      <vt:lpstr>ИП. Финансовый план</vt:lpstr>
      <vt:lpstr>ИП. КНЭ</vt:lpstr>
      <vt:lpstr>ТП</vt:lpstr>
      <vt:lpstr>Договоры</vt:lpstr>
      <vt:lpstr>Порядок ТП</vt:lpstr>
      <vt:lpstr>Предложение</vt:lpstr>
      <vt:lpstr>Сведения о закупках</vt:lpstr>
      <vt:lpstr>Потребительские характеристики</vt:lpstr>
      <vt:lpstr>TEHSHEET</vt:lpstr>
      <vt:lpstr>Орган регулирования</vt:lpstr>
      <vt:lpstr>Перечень организаций</vt:lpstr>
      <vt:lpstr>Дела об установлении тарифов</vt:lpstr>
      <vt:lpstr>Дела об утверждении ПУЦ</vt:lpstr>
      <vt:lpstr>Привлечение к ответственности</vt:lpstr>
      <vt:lpstr>ЭД</vt:lpstr>
      <vt:lpstr>Сведения об изменении</vt:lpstr>
      <vt:lpstr>Комментарии</vt:lpstr>
      <vt:lpstr>Проверка</vt:lpstr>
      <vt:lpstr>et_union_hor</vt:lpstr>
      <vt:lpstr>DATA_FORMS</vt:lpstr>
      <vt:lpstr>DATA_NPA</vt:lpstr>
      <vt:lpstr>Т-ТЭ | потр</vt:lpstr>
      <vt:lpstr>modMainProcedures</vt:lpstr>
      <vt:lpstr>modB_FHD</vt:lpstr>
      <vt:lpstr>modB_FHD20</vt:lpstr>
      <vt:lpstr>modB_KNE</vt:lpstr>
      <vt:lpstr>modIP_MAIN</vt:lpstr>
      <vt:lpstr>modIP_QRE</vt:lpstr>
      <vt:lpstr>modIP_DETAILED</vt:lpstr>
      <vt:lpstr>et_union_vert</vt:lpstr>
      <vt:lpstr>Легенда</vt:lpstr>
      <vt:lpstr>modfrmListIP</vt:lpstr>
      <vt:lpstr>modfrmActivity</vt:lpstr>
      <vt:lpstr>REESTR_ORG</vt:lpstr>
      <vt:lpstr>REESTR_MO</vt:lpstr>
      <vt:lpstr>REESTR_IP</vt:lpstr>
      <vt:lpstr>REESTR_OBJ_INFR</vt:lpstr>
      <vt:lpstr>REESTR_DS</vt:lpstr>
      <vt:lpstr>REESTR_VT</vt:lpstr>
      <vt:lpstr>REESTR_VED</vt:lpstr>
      <vt:lpstr>REESTR_MO_FILTER</vt:lpstr>
      <vt:lpstr>REESTR_LINK</vt:lpstr>
      <vt:lpstr>modSheetMain</vt:lpstr>
      <vt:lpstr>modfrmReportMode</vt:lpstr>
      <vt:lpstr>modfrmReestrObj</vt:lpstr>
      <vt:lpstr>AllSheetsInThisWorkbook</vt:lpstr>
      <vt:lpstr>modInfo</vt:lpstr>
    </vt:vector>
  </TitlesOfParts>
  <Template/>
  <Manager/>
  <Company>ФАС России</Company>
  <LinksUpToDate>false</LinksUpToDate>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Информация, подлежащая раскрытию организациями сферы теплоснабжения (цены и тарифы)</dc:title>
  <dc:subject>Информация, подлежащая раскрытию организациями сферы теплоснабжения (цены и тарифы)</dc:subject>
  <dc:creator>--</dc:creator>
  <cp:keywords/>
  <dc:description/>
  <cp:lastModifiedBy>-</cp:lastModifiedBy>
  <cp:lastPrinted>2013-08-29T08:11:20Z</cp:lastPrinted>
  <dcterms:created xsi:type="dcterms:W3CDTF">2004-05-21T07:18:45Z</dcterms:created>
  <dcterms:modified xsi:type="dcterms:W3CDTF">2024-03-31T15:42:24Z</dcterms:modified>
  <cp:category/>
</cp:coreProperties>
</file>